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embeddings/oleObject7.bin" ContentType="application/vnd.openxmlformats-officedocument.oleObject"/>
  <Override PartName="/xl/pivotTables/pivotTable1.xml" ContentType="application/vnd.openxmlformats-officedocument.spreadsheetml.pivotTable+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5.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showInkAnnotation="0" codeName="DieseArbeitsmappe" hidePivotFieldList="1"/>
  <mc:AlternateContent xmlns:mc="http://schemas.openxmlformats.org/markup-compatibility/2006">
    <mc:Choice Requires="x15">
      <x15ac:absPath xmlns:x15ac="http://schemas.microsoft.com/office/spreadsheetml/2010/11/ac" url="J:\040_PUBLICITE\Prix-courant\Formulaires\1_PREFA\"/>
    </mc:Choice>
  </mc:AlternateContent>
  <xr:revisionPtr revIDLastSave="0" documentId="13_ncr:1_{737A2358-6E4C-4B23-9FC7-C8F38AC9B125}" xr6:coauthVersionLast="36" xr6:coauthVersionMax="36" xr10:uidLastSave="{00000000-0000-0000-0000-000000000000}"/>
  <workbookProtection workbookAlgorithmName="SHA-512" workbookHashValue="wM/qnuWS3x3q1nXecTxjejD3sqC2LRCofuRMbTW76Yc0lydu0qaTqQfZUNjosGejeytu9ss7B0KHJbrpUOzPzg==" workbookSaltValue="MqrE/Cvmfw8U+C2GEV+mfg==" workbookSpinCount="100000" lockStructure="1"/>
  <bookViews>
    <workbookView xWindow="0" yWindow="0" windowWidth="22260" windowHeight="8760" tabRatio="869" xr2:uid="{00000000-000D-0000-FFFF-FFFF00000000}"/>
  </bookViews>
  <sheets>
    <sheet name="Erhebungsbogen" sheetId="16" r:id="rId1"/>
    <sheet name="Haftungsausschluß" sheetId="5" state="hidden" r:id="rId2"/>
    <sheet name="Leibungshöhe" sheetId="15" state="hidden" r:id="rId3"/>
    <sheet name="Kalkulation 1" sheetId="4" state="hidden" r:id="rId4"/>
    <sheet name="HWS-Stückliste-Kalk-1" sheetId="7" state="hidden" r:id="rId5"/>
    <sheet name="HWS-Stückliste-Kalk-Komplett" sheetId="14" state="hidden" r:id="rId6"/>
    <sheet name="Statik 1-Zusatzberechnungen-1" sheetId="6" state="hidden" r:id="rId7"/>
    <sheet name="HWS-Stückliste-Statik-1" sheetId="9" state="hidden" r:id="rId8"/>
    <sheet name="Preisliste" sheetId="8" state="hidden" r:id="rId9"/>
    <sheet name="Sprachindex" sheetId="1" state="hidden" r:id="rId10"/>
  </sheets>
  <definedNames>
    <definedName name="_xlnm._FilterDatabase" localSheetId="4" hidden="1">'HWS-Stückliste-Kalk-1'!$B$14:$B$277</definedName>
    <definedName name="_xlnm._FilterDatabase" localSheetId="5" hidden="1">'HWS-Stückliste-Kalk-Komplett'!$B$14:$B$678</definedName>
    <definedName name="_xlnm._FilterDatabase" localSheetId="7" hidden="1">'HWS-Stückliste-Statik-1'!$B$9:$B$275</definedName>
    <definedName name="_xlnm._FilterDatabase" localSheetId="3" hidden="1">'Kalkulation 1'!$C$41:$D$242</definedName>
    <definedName name="AnzahlFelder">INDIRECT("AS"&amp;'Kalkulation 1'!$AS$28)</definedName>
    <definedName name="FeldNummern">INDIRECT("AT"&amp;'Kalkulation 1'!$AT$28)</definedName>
    <definedName name="_xlnm.Print_Titles" localSheetId="3">'Kalkulation 1'!$1:$2</definedName>
    <definedName name="MontageartLinks">INDIRECT("AO"&amp;'Kalkulation 1'!$AO$28)</definedName>
    <definedName name="MontageartRechts">INDIRECT("AP"&amp;'Kalkulation 1'!$AP$28)</definedName>
    <definedName name="Rundsteher">INDIRECT("AR"&amp;'Kalkulation 1'!$AR$28)</definedName>
    <definedName name="SteherNummern">INDIRECT("BA"&amp;'Kalkulation 1'!$BA$28)</definedName>
    <definedName name="_xlnm.Print_Area" localSheetId="0">Erhebungsbogen!$A$1:$Q$69</definedName>
    <definedName name="_xlnm.Print_Area" localSheetId="4">'HWS-Stückliste-Kalk-1'!$A$1:$O$335</definedName>
    <definedName name="_xlnm.Print_Area" localSheetId="5">'HWS-Stückliste-Kalk-Komplett'!$A$1:$O$682</definedName>
    <definedName name="_xlnm.Print_Area" localSheetId="7">'HWS-Stückliste-Statik-1'!$B$1:$AN$276,'HWS-Stückliste-Statik-1'!$AP$1:$CB$276</definedName>
    <definedName name="_xlnm.Print_Area" localSheetId="3">'Kalkulation 1'!$C$1:$AE$243</definedName>
  </definedNames>
  <calcPr calcId="191029"/>
  <pivotCaches>
    <pivotCache cacheId="10" r:id="rId11"/>
    <pivotCache cacheId="11" r:id="rId12"/>
    <pivotCache cacheId="12" r:id="rId13"/>
    <pivotCache cacheId="13" r:id="rId14"/>
    <pivotCache cacheId="14" r:id="rId1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44" i="8" l="1"/>
  <c r="G244" i="8"/>
  <c r="J244" i="8" s="1"/>
  <c r="H244" i="8" s="1"/>
  <c r="N243" i="8"/>
  <c r="G243" i="8" s="1"/>
  <c r="J243" i="8" s="1"/>
  <c r="H243" i="8" s="1"/>
  <c r="N242" i="8"/>
  <c r="G242" i="8"/>
  <c r="J242" i="8" s="1"/>
  <c r="H242" i="8" s="1"/>
  <c r="N241" i="8"/>
  <c r="G241" i="8"/>
  <c r="J241" i="8" s="1"/>
  <c r="H241" i="8" s="1"/>
  <c r="N240" i="8"/>
  <c r="G240" i="8"/>
  <c r="J240" i="8" s="1"/>
  <c r="H240" i="8" s="1"/>
  <c r="N239" i="8"/>
  <c r="G239" i="8"/>
  <c r="J239" i="8" s="1"/>
  <c r="H239" i="8" s="1"/>
  <c r="N238" i="8"/>
  <c r="G238" i="8"/>
  <c r="J238" i="8" s="1"/>
  <c r="H238" i="8" s="1"/>
  <c r="N237" i="8"/>
  <c r="G237" i="8" s="1"/>
  <c r="J237" i="8" s="1"/>
  <c r="H237" i="8" s="1"/>
  <c r="N236" i="8"/>
  <c r="G236" i="8"/>
  <c r="J236" i="8" s="1"/>
  <c r="H236" i="8" s="1"/>
  <c r="N235" i="8"/>
  <c r="G235" i="8"/>
  <c r="J235" i="8" s="1"/>
  <c r="H235" i="8" s="1"/>
  <c r="N234" i="8"/>
  <c r="G234" i="8"/>
  <c r="J234" i="8" s="1"/>
  <c r="H234" i="8" s="1"/>
  <c r="N233" i="8"/>
  <c r="G233" i="8"/>
  <c r="J233" i="8" s="1"/>
  <c r="H233" i="8" s="1"/>
  <c r="N232" i="8"/>
  <c r="G232" i="8"/>
  <c r="J232" i="8" s="1"/>
  <c r="H232" i="8" s="1"/>
  <c r="N231" i="8"/>
  <c r="G231" i="8" s="1"/>
  <c r="J231" i="8" s="1"/>
  <c r="H231" i="8" s="1"/>
  <c r="N230" i="8"/>
  <c r="G230" i="8"/>
  <c r="J230" i="8" s="1"/>
  <c r="H230" i="8" s="1"/>
  <c r="N229" i="8"/>
  <c r="G229" i="8"/>
  <c r="J229" i="8" s="1"/>
  <c r="H229" i="8" s="1"/>
  <c r="N228" i="8"/>
  <c r="G228" i="8"/>
  <c r="J228" i="8" s="1"/>
  <c r="H228" i="8" s="1"/>
  <c r="N227" i="8"/>
  <c r="G227" i="8"/>
  <c r="J227" i="8" s="1"/>
  <c r="H227" i="8" s="1"/>
  <c r="N226" i="8"/>
  <c r="G226" i="8"/>
  <c r="J226" i="8" s="1"/>
  <c r="H226" i="8" s="1"/>
  <c r="N225" i="8"/>
  <c r="G225" i="8" s="1"/>
  <c r="J225" i="8" s="1"/>
  <c r="H225" i="8" s="1"/>
  <c r="N224" i="8"/>
  <c r="G224" i="8"/>
  <c r="J224" i="8" s="1"/>
  <c r="H224" i="8" s="1"/>
  <c r="N223" i="8"/>
  <c r="G223" i="8"/>
  <c r="J223" i="8" s="1"/>
  <c r="H223" i="8" s="1"/>
  <c r="N222" i="8"/>
  <c r="G222" i="8"/>
  <c r="J222" i="8" s="1"/>
  <c r="H222" i="8" s="1"/>
  <c r="N221" i="8"/>
  <c r="G221" i="8"/>
  <c r="J221" i="8" s="1"/>
  <c r="H221" i="8" s="1"/>
  <c r="N220" i="8"/>
  <c r="G220" i="8"/>
  <c r="J220" i="8" s="1"/>
  <c r="H220" i="8" s="1"/>
  <c r="N219" i="8"/>
  <c r="G219" i="8" s="1"/>
  <c r="J219" i="8" s="1"/>
  <c r="H219" i="8" s="1"/>
  <c r="N218" i="8"/>
  <c r="G218" i="8"/>
  <c r="J218" i="8" s="1"/>
  <c r="H218" i="8" s="1"/>
  <c r="N217" i="8"/>
  <c r="G217" i="8"/>
  <c r="J217" i="8" s="1"/>
  <c r="H217" i="8" s="1"/>
  <c r="N216" i="8"/>
  <c r="G216" i="8"/>
  <c r="J216" i="8" s="1"/>
  <c r="H216" i="8" s="1"/>
  <c r="N215" i="8"/>
  <c r="G215" i="8" s="1"/>
  <c r="J215" i="8" s="1"/>
  <c r="H215" i="8" s="1"/>
  <c r="N214" i="8"/>
  <c r="G214" i="8" s="1"/>
  <c r="J214" i="8" s="1"/>
  <c r="H214" i="8" s="1"/>
  <c r="N213" i="8"/>
  <c r="G213" i="8" s="1"/>
  <c r="J213" i="8" s="1"/>
  <c r="H213" i="8" s="1"/>
  <c r="N212" i="8"/>
  <c r="G212" i="8"/>
  <c r="J212" i="8" s="1"/>
  <c r="H212" i="8" s="1"/>
  <c r="N211" i="8"/>
  <c r="G211" i="8" s="1"/>
  <c r="J211" i="8" s="1"/>
  <c r="H211" i="8" s="1"/>
  <c r="N210" i="8"/>
  <c r="G210" i="8"/>
  <c r="J210" i="8" s="1"/>
  <c r="H210" i="8" s="1"/>
  <c r="N209" i="8"/>
  <c r="G209" i="8" s="1"/>
  <c r="J209" i="8" s="1"/>
  <c r="H209" i="8" s="1"/>
  <c r="N208" i="8"/>
  <c r="G208" i="8"/>
  <c r="J208" i="8" s="1"/>
  <c r="H208" i="8" s="1"/>
  <c r="N207" i="8"/>
  <c r="G207" i="8" s="1"/>
  <c r="J207" i="8" s="1"/>
  <c r="H207" i="8" s="1"/>
  <c r="N206" i="8"/>
  <c r="G206" i="8" s="1"/>
  <c r="J206" i="8" s="1"/>
  <c r="H206" i="8" s="1"/>
  <c r="N205" i="8"/>
  <c r="G205" i="8" s="1"/>
  <c r="J205" i="8" s="1"/>
  <c r="H205" i="8" s="1"/>
  <c r="N204" i="8"/>
  <c r="G204" i="8" s="1"/>
  <c r="J204" i="8" s="1"/>
  <c r="H204" i="8" s="1"/>
  <c r="N203" i="8"/>
  <c r="G203" i="8"/>
  <c r="J203" i="8" s="1"/>
  <c r="H203" i="8" s="1"/>
  <c r="N202" i="8"/>
  <c r="G202" i="8" s="1"/>
  <c r="J202" i="8" s="1"/>
  <c r="H202" i="8" s="1"/>
  <c r="N201" i="8"/>
  <c r="G201" i="8" s="1"/>
  <c r="J201" i="8" s="1"/>
  <c r="H201" i="8" s="1"/>
  <c r="N200" i="8"/>
  <c r="G200" i="8" s="1"/>
  <c r="J200" i="8" s="1"/>
  <c r="H200" i="8" s="1"/>
  <c r="N195" i="8"/>
  <c r="G195" i="8" s="1"/>
  <c r="N194" i="8"/>
  <c r="G194" i="8" s="1"/>
  <c r="N191" i="8"/>
  <c r="G191" i="8" s="1"/>
  <c r="J191" i="8" s="1"/>
  <c r="H191" i="8" s="1"/>
  <c r="N190" i="8"/>
  <c r="G190" i="8" s="1"/>
  <c r="J190" i="8" s="1"/>
  <c r="H190" i="8" s="1"/>
  <c r="N187" i="8"/>
  <c r="G187" i="8" s="1"/>
  <c r="J187" i="8" s="1"/>
  <c r="H187" i="8" s="1"/>
  <c r="N186" i="8"/>
  <c r="G186" i="8" s="1"/>
  <c r="J186" i="8" s="1"/>
  <c r="H186" i="8" s="1"/>
  <c r="N183" i="8"/>
  <c r="G183" i="8" s="1"/>
  <c r="J183" i="8" s="1"/>
  <c r="H183" i="8" s="1"/>
  <c r="N182" i="8"/>
  <c r="G182" i="8" s="1"/>
  <c r="J182" i="8" s="1"/>
  <c r="H182" i="8" s="1"/>
  <c r="N179" i="8"/>
  <c r="G179" i="8"/>
  <c r="J179" i="8" s="1"/>
  <c r="H179" i="8" s="1"/>
  <c r="N178" i="8"/>
  <c r="G178" i="8" s="1"/>
  <c r="J178" i="8" s="1"/>
  <c r="H178" i="8" s="1"/>
  <c r="N176" i="8"/>
  <c r="N175" i="8"/>
  <c r="G175" i="8"/>
  <c r="N174" i="8"/>
  <c r="G174" i="8" s="1"/>
  <c r="N173" i="8"/>
  <c r="G173" i="8"/>
  <c r="N172" i="8"/>
  <c r="G172" i="8" s="1"/>
  <c r="N171" i="8"/>
  <c r="G171" i="8" s="1"/>
  <c r="N170" i="8"/>
  <c r="G170" i="8" s="1"/>
  <c r="N169" i="8"/>
  <c r="G169" i="8"/>
  <c r="N168" i="8"/>
  <c r="G168" i="8" s="1"/>
  <c r="N167" i="8"/>
  <c r="G167" i="8" s="1"/>
  <c r="N166" i="8"/>
  <c r="G166" i="8" s="1"/>
  <c r="N165" i="8"/>
  <c r="G165" i="8" s="1"/>
  <c r="N162" i="8"/>
  <c r="G162" i="8" s="1"/>
  <c r="N161" i="8"/>
  <c r="G161" i="8"/>
  <c r="N160" i="8"/>
  <c r="G160" i="8" s="1"/>
  <c r="N156" i="8"/>
  <c r="G156" i="8"/>
  <c r="J156" i="8" s="1"/>
  <c r="H156" i="8" s="1"/>
  <c r="N155" i="8"/>
  <c r="G155" i="8" s="1"/>
  <c r="J155" i="8" s="1"/>
  <c r="H155" i="8" s="1"/>
  <c r="N154" i="8"/>
  <c r="G154" i="8"/>
  <c r="N152" i="8"/>
  <c r="G152" i="8" s="1"/>
  <c r="N150" i="8"/>
  <c r="G150" i="8"/>
  <c r="J150" i="8" s="1"/>
  <c r="H150" i="8" s="1"/>
  <c r="N149" i="8"/>
  <c r="G149" i="8" s="1"/>
  <c r="J149" i="8" s="1"/>
  <c r="H149" i="8" s="1"/>
  <c r="N148" i="8"/>
  <c r="G148" i="8"/>
  <c r="J148" i="8" s="1"/>
  <c r="H148" i="8" s="1"/>
  <c r="N147" i="8"/>
  <c r="G147" i="8" s="1"/>
  <c r="J147" i="8" s="1"/>
  <c r="H147" i="8" s="1"/>
  <c r="N146" i="8"/>
  <c r="G146" i="8"/>
  <c r="J146" i="8" s="1"/>
  <c r="H146" i="8" s="1"/>
  <c r="N144" i="8"/>
  <c r="G144" i="8" s="1"/>
  <c r="J144" i="8" s="1"/>
  <c r="H144" i="8" s="1"/>
  <c r="N143" i="8"/>
  <c r="G143" i="8"/>
  <c r="J143" i="8" s="1"/>
  <c r="H143" i="8" s="1"/>
  <c r="N142" i="8"/>
  <c r="G142" i="8" s="1"/>
  <c r="J142" i="8" s="1"/>
  <c r="H142" i="8" s="1"/>
  <c r="N141" i="8"/>
  <c r="G141" i="8"/>
  <c r="J141" i="8" s="1"/>
  <c r="H141" i="8" s="1"/>
  <c r="N139" i="8"/>
  <c r="G139" i="8" s="1"/>
  <c r="J139" i="8" s="1"/>
  <c r="H139" i="8" s="1"/>
  <c r="N138" i="8"/>
  <c r="G138" i="8"/>
  <c r="J138" i="8" s="1"/>
  <c r="H138" i="8" s="1"/>
  <c r="N137" i="8"/>
  <c r="G137" i="8" s="1"/>
  <c r="J137" i="8" s="1"/>
  <c r="H137" i="8" s="1"/>
  <c r="N136" i="8"/>
  <c r="G136" i="8"/>
  <c r="J136" i="8" s="1"/>
  <c r="H136" i="8" s="1"/>
  <c r="N135" i="8"/>
  <c r="G135" i="8" s="1"/>
  <c r="J135" i="8" s="1"/>
  <c r="H135" i="8" s="1"/>
  <c r="N133" i="8"/>
  <c r="G133" i="8"/>
  <c r="J133" i="8" s="1"/>
  <c r="H133" i="8" s="1"/>
  <c r="N132" i="8"/>
  <c r="G132" i="8" s="1"/>
  <c r="J132" i="8" s="1"/>
  <c r="H132" i="8" s="1"/>
  <c r="N131" i="8"/>
  <c r="G131" i="8"/>
  <c r="J131" i="8" s="1"/>
  <c r="H131" i="8" s="1"/>
  <c r="N129" i="8"/>
  <c r="G129" i="8" s="1"/>
  <c r="J129" i="8" s="1"/>
  <c r="H129" i="8" s="1"/>
  <c r="N128" i="8"/>
  <c r="G128" i="8"/>
  <c r="J128" i="8" s="1"/>
  <c r="H128" i="8" s="1"/>
  <c r="N127" i="8"/>
  <c r="G127" i="8" s="1"/>
  <c r="J127" i="8" s="1"/>
  <c r="H127" i="8" s="1"/>
  <c r="N126" i="8"/>
  <c r="G126" i="8"/>
  <c r="J126" i="8" s="1"/>
  <c r="H126" i="8" s="1"/>
  <c r="N124" i="8"/>
  <c r="G124" i="8" s="1"/>
  <c r="J124" i="8" s="1"/>
  <c r="H124" i="8" s="1"/>
  <c r="N123" i="8"/>
  <c r="G123" i="8"/>
  <c r="J123" i="8" s="1"/>
  <c r="H123" i="8" s="1"/>
  <c r="N121" i="8"/>
  <c r="G121" i="8" s="1"/>
  <c r="N120" i="8"/>
  <c r="G120" i="8"/>
  <c r="N119" i="8"/>
  <c r="G119" i="8" s="1"/>
  <c r="N118" i="8"/>
  <c r="G118" i="8"/>
  <c r="N117" i="8"/>
  <c r="G117" i="8" s="1"/>
  <c r="N116" i="8"/>
  <c r="G116" i="8"/>
  <c r="N115" i="8"/>
  <c r="G115" i="8" s="1"/>
  <c r="N114" i="8"/>
  <c r="G114" i="8"/>
  <c r="N113" i="8"/>
  <c r="G113" i="8" s="1"/>
  <c r="N110" i="8"/>
  <c r="G110" i="8"/>
  <c r="N109" i="8"/>
  <c r="G109" i="8" s="1"/>
  <c r="N106" i="8"/>
  <c r="G106" i="8"/>
  <c r="N105" i="8"/>
  <c r="G105" i="8" s="1"/>
  <c r="N104" i="8"/>
  <c r="G104" i="8"/>
  <c r="N102" i="8"/>
  <c r="G102" i="8" s="1"/>
  <c r="N101" i="8"/>
  <c r="G101" i="8"/>
  <c r="N99" i="8"/>
  <c r="G99" i="8" s="1"/>
  <c r="N98" i="8"/>
  <c r="G98" i="8"/>
  <c r="N95" i="8"/>
  <c r="G95" i="8" s="1"/>
  <c r="N94" i="8"/>
  <c r="G94" i="8"/>
  <c r="N93" i="8"/>
  <c r="G93" i="8" s="1"/>
  <c r="N92" i="8"/>
  <c r="G92" i="8"/>
  <c r="N89" i="8"/>
  <c r="G89" i="8" s="1"/>
  <c r="N88" i="8"/>
  <c r="G88" i="8"/>
  <c r="N87" i="8"/>
  <c r="G87" i="8" s="1"/>
  <c r="N86" i="8"/>
  <c r="G86" i="8"/>
  <c r="N83" i="8"/>
  <c r="G83" i="8" s="1"/>
  <c r="N82" i="8"/>
  <c r="G82" i="8"/>
  <c r="N81" i="8"/>
  <c r="G81" i="8" s="1"/>
  <c r="N80" i="8"/>
  <c r="G80" i="8"/>
  <c r="N77" i="8"/>
  <c r="G77" i="8" s="1"/>
  <c r="N76" i="8"/>
  <c r="G76" i="8"/>
  <c r="N75" i="8"/>
  <c r="G75" i="8" s="1"/>
  <c r="N74" i="8"/>
  <c r="G74" i="8"/>
  <c r="N71" i="8"/>
  <c r="G71" i="8" s="1"/>
  <c r="N70" i="8"/>
  <c r="G70" i="8"/>
  <c r="N69" i="8"/>
  <c r="G69" i="8" s="1"/>
  <c r="N68" i="8"/>
  <c r="G68" i="8"/>
  <c r="N65" i="8"/>
  <c r="G65" i="8" s="1"/>
  <c r="N64" i="8"/>
  <c r="G64" i="8"/>
  <c r="N63" i="8"/>
  <c r="G63" i="8" s="1"/>
  <c r="N62" i="8"/>
  <c r="G62" i="8"/>
  <c r="N59" i="8"/>
  <c r="G59" i="8" s="1"/>
  <c r="N58" i="8"/>
  <c r="G58" i="8"/>
  <c r="N57" i="8"/>
  <c r="G57" i="8" s="1"/>
  <c r="N56" i="8"/>
  <c r="G56" i="8"/>
  <c r="N54" i="8"/>
  <c r="G54" i="8" s="1"/>
  <c r="J54" i="8" s="1"/>
  <c r="H54" i="8" s="1"/>
  <c r="N52" i="8"/>
  <c r="G52" i="8"/>
  <c r="J52" i="8" s="1"/>
  <c r="H52" i="8" s="1"/>
  <c r="N51" i="8"/>
  <c r="G51" i="8" s="1"/>
  <c r="J51" i="8" s="1"/>
  <c r="H51" i="8" s="1"/>
  <c r="N50" i="8"/>
  <c r="G50" i="8"/>
  <c r="J50" i="8" s="1"/>
  <c r="H50" i="8" s="1"/>
  <c r="N49" i="8"/>
  <c r="G49" i="8" s="1"/>
  <c r="J49" i="8" s="1"/>
  <c r="H49" i="8" s="1"/>
  <c r="N47" i="8"/>
  <c r="G47" i="8"/>
  <c r="J47" i="8" s="1"/>
  <c r="H47" i="8" s="1"/>
  <c r="N45" i="8"/>
  <c r="G45" i="8" s="1"/>
  <c r="J45" i="8" s="1"/>
  <c r="H45" i="8" s="1"/>
  <c r="N44" i="8"/>
  <c r="G44" i="8"/>
  <c r="J44" i="8" s="1"/>
  <c r="H44" i="8" s="1"/>
  <c r="N43" i="8"/>
  <c r="G43" i="8" s="1"/>
  <c r="J43" i="8" s="1"/>
  <c r="H43" i="8" s="1"/>
  <c r="N42" i="8"/>
  <c r="G42" i="8"/>
  <c r="J42" i="8" s="1"/>
  <c r="H42" i="8" s="1"/>
  <c r="N40" i="8"/>
  <c r="G40" i="8" s="1"/>
  <c r="J40" i="8" s="1"/>
  <c r="H40" i="8" s="1"/>
  <c r="N39" i="8"/>
  <c r="G39" i="8"/>
  <c r="J39" i="8" s="1"/>
  <c r="H39" i="8" s="1"/>
  <c r="N38" i="8"/>
  <c r="G38" i="8" s="1"/>
  <c r="J38" i="8" s="1"/>
  <c r="H38" i="8" s="1"/>
  <c r="N36" i="8"/>
  <c r="G36" i="8"/>
  <c r="J36" i="8" s="1"/>
  <c r="H36" i="8" s="1"/>
  <c r="N34" i="8"/>
  <c r="G34" i="8" s="1"/>
  <c r="J34" i="8" s="1"/>
  <c r="H34" i="8" s="1"/>
  <c r="N33" i="8"/>
  <c r="G33" i="8"/>
  <c r="J33" i="8" s="1"/>
  <c r="H33" i="8" s="1"/>
  <c r="N32" i="8"/>
  <c r="G32" i="8" s="1"/>
  <c r="J32" i="8" s="1"/>
  <c r="H32" i="8" s="1"/>
  <c r="N31" i="8"/>
  <c r="G31" i="8"/>
  <c r="J31" i="8" s="1"/>
  <c r="H31" i="8" s="1"/>
  <c r="N29" i="8"/>
  <c r="G29" i="8" s="1"/>
  <c r="J29" i="8" s="1"/>
  <c r="H29" i="8" s="1"/>
  <c r="N27" i="8"/>
  <c r="G27" i="8"/>
  <c r="J27" i="8" s="1"/>
  <c r="H27" i="8" s="1"/>
  <c r="N26" i="8"/>
  <c r="G26" i="8" s="1"/>
  <c r="J26" i="8" s="1"/>
  <c r="H26" i="8" s="1"/>
  <c r="N25" i="8"/>
  <c r="G25" i="8"/>
  <c r="J25" i="8" s="1"/>
  <c r="H25" i="8" s="1"/>
  <c r="N24" i="8"/>
  <c r="G24" i="8" s="1"/>
  <c r="J24" i="8" s="1"/>
  <c r="H24" i="8" s="1"/>
  <c r="N22" i="8"/>
  <c r="G22" i="8"/>
  <c r="J22" i="8" s="1"/>
  <c r="H22" i="8" s="1"/>
  <c r="N20" i="8"/>
  <c r="G20" i="8" s="1"/>
  <c r="J20" i="8" s="1"/>
  <c r="H20" i="8" s="1"/>
  <c r="N19" i="8"/>
  <c r="G19" i="8"/>
  <c r="J19" i="8" s="1"/>
  <c r="H19" i="8" s="1"/>
  <c r="N17" i="8"/>
  <c r="G17" i="8" s="1"/>
  <c r="J17" i="8" s="1"/>
  <c r="H17" i="8" s="1"/>
  <c r="N16" i="8"/>
  <c r="G16" i="8"/>
  <c r="J16" i="8" s="1"/>
  <c r="H16" i="8" s="1"/>
  <c r="N14" i="8"/>
  <c r="G14" i="8" s="1"/>
  <c r="J14" i="8" s="1"/>
  <c r="H14" i="8" s="1"/>
  <c r="N13" i="8"/>
  <c r="G13" i="8"/>
  <c r="J13" i="8" s="1"/>
  <c r="H13" i="8" s="1"/>
  <c r="N11" i="8"/>
  <c r="G11" i="8" s="1"/>
  <c r="J11" i="8" s="1"/>
  <c r="H11" i="8" s="1"/>
  <c r="N10" i="8"/>
  <c r="G10" i="8"/>
  <c r="J10" i="8" s="1"/>
  <c r="H10" i="8" s="1"/>
  <c r="N9" i="8"/>
  <c r="N8" i="8"/>
  <c r="G8" i="8" s="1"/>
  <c r="J8" i="8"/>
  <c r="H8" i="8"/>
  <c r="N7" i="8"/>
  <c r="G7" i="8" s="1"/>
  <c r="J7" i="8" s="1"/>
  <c r="H7" i="8" s="1"/>
  <c r="R9" i="4" l="1"/>
  <c r="AB12" i="4" l="1"/>
  <c r="W25" i="4"/>
  <c r="AI23" i="4"/>
  <c r="AH13" i="4" l="1"/>
  <c r="AH34" i="4"/>
  <c r="AH35" i="4"/>
  <c r="AH36" i="4"/>
  <c r="AH33" i="4"/>
  <c r="I23" i="4"/>
  <c r="I21" i="4"/>
  <c r="F622" i="14" l="1"/>
  <c r="F621" i="14"/>
  <c r="F620" i="14"/>
  <c r="F619" i="14"/>
  <c r="F616" i="14"/>
  <c r="F615" i="14"/>
  <c r="F618" i="14"/>
  <c r="F617" i="14"/>
  <c r="AH22" i="4" l="1"/>
  <c r="AH21" i="4"/>
  <c r="E5" i="4" l="1"/>
  <c r="E6" i="4"/>
  <c r="P10" i="14"/>
  <c r="P10" i="7"/>
  <c r="AH20" i="4" l="1"/>
  <c r="AK17" i="4" l="1"/>
  <c r="AL17" i="4"/>
  <c r="Q6" i="7" l="1"/>
  <c r="AA675" i="14"/>
  <c r="AB674" i="14"/>
  <c r="AA674" i="14"/>
  <c r="AD673" i="14"/>
  <c r="AC673" i="14"/>
  <c r="AB673" i="14"/>
  <c r="AA673" i="14"/>
  <c r="AE672" i="14"/>
  <c r="AD672" i="14"/>
  <c r="AC672" i="14"/>
  <c r="AB672" i="14"/>
  <c r="AA672" i="14"/>
  <c r="AF671" i="14"/>
  <c r="AE671" i="14"/>
  <c r="AD671" i="14"/>
  <c r="AC671" i="14"/>
  <c r="AB671" i="14"/>
  <c r="AA671" i="14"/>
  <c r="AD670" i="14"/>
  <c r="AC670" i="14"/>
  <c r="AB670" i="14"/>
  <c r="P670" i="14"/>
  <c r="AB669" i="14"/>
  <c r="AA669" i="14"/>
  <c r="W7" i="7"/>
  <c r="W6" i="7"/>
  <c r="W5" i="7"/>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23" i="14"/>
  <c r="F624" i="14"/>
  <c r="F625" i="14"/>
  <c r="F626" i="14"/>
  <c r="F627" i="14"/>
  <c r="F628" i="14"/>
  <c r="F629" i="14"/>
  <c r="F630" i="14"/>
  <c r="F631" i="14"/>
  <c r="F632" i="14"/>
  <c r="F633" i="14"/>
  <c r="F634" i="14"/>
  <c r="F635" i="14"/>
  <c r="F636" i="14"/>
  <c r="F637" i="14"/>
  <c r="F638" i="14"/>
  <c r="F639" i="14"/>
  <c r="F266" i="7" l="1"/>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E10" i="4"/>
  <c r="AA274" i="7"/>
  <c r="AB273" i="7"/>
  <c r="AA273" i="7"/>
  <c r="AB272" i="7"/>
  <c r="AB268" i="7"/>
  <c r="AC272" i="7"/>
  <c r="AD271" i="7"/>
  <c r="AE270" i="7"/>
  <c r="D659" i="14" l="1"/>
  <c r="D660" i="14"/>
  <c r="D661" i="14"/>
  <c r="D662" i="14"/>
  <c r="D663" i="14"/>
  <c r="D664" i="14"/>
  <c r="D665" i="14"/>
  <c r="D666" i="14"/>
  <c r="D667" i="14"/>
  <c r="G667" i="14"/>
  <c r="E667" i="14"/>
  <c r="G666" i="14"/>
  <c r="E666" i="14"/>
  <c r="G665" i="14"/>
  <c r="E665" i="14"/>
  <c r="G664" i="14"/>
  <c r="E664" i="14"/>
  <c r="G663" i="14"/>
  <c r="E663" i="14"/>
  <c r="G662" i="14"/>
  <c r="E662" i="14"/>
  <c r="G661" i="14"/>
  <c r="E661" i="14"/>
  <c r="G660" i="14"/>
  <c r="E660" i="14"/>
  <c r="G659" i="14"/>
  <c r="E659" i="14"/>
  <c r="D258" i="7"/>
  <c r="O258" i="7" s="1"/>
  <c r="D259" i="7"/>
  <c r="O259" i="7" s="1"/>
  <c r="D260" i="7"/>
  <c r="O260" i="7" s="1"/>
  <c r="D261" i="7"/>
  <c r="O261" i="7" s="1"/>
  <c r="D262" i="7"/>
  <c r="O262" i="7" s="1"/>
  <c r="D263" i="7"/>
  <c r="O263" i="7" s="1"/>
  <c r="D264" i="7"/>
  <c r="O264" i="7" s="1"/>
  <c r="D265" i="7"/>
  <c r="O265" i="7" s="1"/>
  <c r="D266" i="7"/>
  <c r="O266" i="7" s="1"/>
  <c r="E266" i="7"/>
  <c r="E265" i="7"/>
  <c r="E264" i="7"/>
  <c r="E263" i="7"/>
  <c r="E262" i="7"/>
  <c r="E261" i="7"/>
  <c r="E260" i="7"/>
  <c r="E259" i="7"/>
  <c r="E258" i="7"/>
  <c r="G261" i="7"/>
  <c r="G260" i="7"/>
  <c r="G259" i="7"/>
  <c r="G258" i="7"/>
  <c r="G262" i="7"/>
  <c r="G263" i="7"/>
  <c r="G264" i="7"/>
  <c r="G265" i="7"/>
  <c r="G266" i="7"/>
  <c r="K36" i="15"/>
  <c r="K38" i="15" s="1"/>
  <c r="K21" i="15"/>
  <c r="K23" i="15" s="1"/>
  <c r="K6" i="15"/>
  <c r="K8" i="15" s="1"/>
  <c r="K41" i="15"/>
  <c r="K40" i="15"/>
  <c r="K39" i="15"/>
  <c r="K26" i="15"/>
  <c r="K25" i="15"/>
  <c r="K24" i="15"/>
  <c r="K11" i="15"/>
  <c r="K10" i="15"/>
  <c r="T8" i="15"/>
  <c r="S8" i="15"/>
  <c r="R8" i="15"/>
  <c r="Q8" i="15"/>
  <c r="K9" i="15" s="1"/>
  <c r="K33" i="15" l="1"/>
  <c r="D11" i="15" s="1"/>
  <c r="K48" i="15"/>
  <c r="F11" i="15" s="1"/>
  <c r="K47" i="15"/>
  <c r="F9" i="15" s="1"/>
  <c r="K32" i="15"/>
  <c r="D9" i="15" s="1"/>
  <c r="K44" i="15"/>
  <c r="K45" i="15" s="1"/>
  <c r="K46" i="15" s="1"/>
  <c r="K29" i="15"/>
  <c r="K30" i="15" s="1"/>
  <c r="K31" i="15" s="1"/>
  <c r="K18" i="15"/>
  <c r="B11" i="15" s="1"/>
  <c r="K17" i="15"/>
  <c r="B9" i="15" s="1"/>
  <c r="K14" i="15"/>
  <c r="K15" i="15" s="1"/>
  <c r="K16" i="15" s="1"/>
  <c r="AF270" i="7" l="1"/>
  <c r="AE271" i="7"/>
  <c r="AD272" i="7"/>
  <c r="AM26" i="4"/>
  <c r="AM25" i="4"/>
  <c r="AM24" i="4"/>
  <c r="AM27" i="4"/>
  <c r="AM28" i="4"/>
  <c r="Q21" i="4"/>
  <c r="M19" i="4"/>
  <c r="F221" i="7"/>
  <c r="F220" i="7"/>
  <c r="F219" i="7"/>
  <c r="F218" i="7"/>
  <c r="F217" i="7"/>
  <c r="F216" i="7"/>
  <c r="F215" i="7"/>
  <c r="F214" i="7"/>
  <c r="D658" i="14"/>
  <c r="D657" i="14"/>
  <c r="D656" i="14"/>
  <c r="D655" i="14"/>
  <c r="D654" i="14"/>
  <c r="D653" i="14"/>
  <c r="D652" i="14"/>
  <c r="D651" i="14"/>
  <c r="D650" i="14"/>
  <c r="D649" i="14"/>
  <c r="D648" i="14"/>
  <c r="D647" i="14"/>
  <c r="D646" i="14"/>
  <c r="D645" i="14"/>
  <c r="D644" i="14"/>
  <c r="D643" i="14"/>
  <c r="D642" i="14"/>
  <c r="D641" i="14"/>
  <c r="D640" i="14"/>
  <c r="D639" i="14"/>
  <c r="D638" i="14"/>
  <c r="D637" i="14"/>
  <c r="D636" i="14"/>
  <c r="D635" i="14"/>
  <c r="D634" i="14"/>
  <c r="D633" i="14"/>
  <c r="D632" i="14"/>
  <c r="D631" i="14"/>
  <c r="D630" i="14"/>
  <c r="D629" i="14"/>
  <c r="D628" i="14"/>
  <c r="D627" i="14"/>
  <c r="D626" i="14"/>
  <c r="D625" i="14"/>
  <c r="D624" i="14"/>
  <c r="D623" i="14"/>
  <c r="D622" i="14"/>
  <c r="D621" i="14"/>
  <c r="D620" i="14"/>
  <c r="D619" i="14"/>
  <c r="D618" i="14"/>
  <c r="D617" i="14"/>
  <c r="D616" i="14"/>
  <c r="D615" i="14"/>
  <c r="D614" i="14"/>
  <c r="D613" i="14"/>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O219" i="7" s="1"/>
  <c r="D218" i="7"/>
  <c r="D217" i="7"/>
  <c r="O217" i="7" s="1"/>
  <c r="D216" i="7"/>
  <c r="D215" i="7"/>
  <c r="O215" i="7" s="1"/>
  <c r="D214" i="7"/>
  <c r="D213" i="7"/>
  <c r="D212" i="7"/>
  <c r="G101" i="14" l="1"/>
  <c r="G217" i="7"/>
  <c r="C25" i="4" l="1"/>
  <c r="G216" i="7" l="1"/>
  <c r="AD269" i="7" l="1"/>
  <c r="AC271" i="7"/>
  <c r="AD270" i="7"/>
  <c r="J30" i="5"/>
  <c r="AI205" i="14" l="1"/>
  <c r="B677" i="14"/>
  <c r="B676" i="14"/>
  <c r="B276" i="7"/>
  <c r="B275" i="7"/>
  <c r="O245" i="7" l="1"/>
  <c r="AA271" i="7" l="1"/>
  <c r="AB270" i="7" l="1"/>
  <c r="AB269" i="7"/>
  <c r="AB271" i="7"/>
  <c r="AA272" i="7" l="1"/>
  <c r="AA270" i="7"/>
  <c r="AA268" i="7"/>
  <c r="AC270" i="7"/>
  <c r="AC269" i="7"/>
  <c r="G37" i="5" l="1"/>
  <c r="I22" i="4"/>
  <c r="J53" i="16"/>
  <c r="G658" i="14"/>
  <c r="G657" i="14"/>
  <c r="G656" i="14"/>
  <c r="G655" i="14"/>
  <c r="G654" i="14"/>
  <c r="G653" i="14"/>
  <c r="G652" i="14"/>
  <c r="G651" i="14"/>
  <c r="G650" i="14"/>
  <c r="G649" i="14"/>
  <c r="G648" i="14"/>
  <c r="G647" i="14"/>
  <c r="G646" i="14"/>
  <c r="G645" i="14"/>
  <c r="G644" i="14"/>
  <c r="G643" i="14"/>
  <c r="G642" i="14"/>
  <c r="G641" i="14"/>
  <c r="G640" i="14"/>
  <c r="G639" i="14"/>
  <c r="G638" i="14"/>
  <c r="G637" i="14"/>
  <c r="G636" i="14"/>
  <c r="G635" i="14"/>
  <c r="G634" i="14"/>
  <c r="G633" i="14"/>
  <c r="G632" i="14"/>
  <c r="G631" i="14"/>
  <c r="G630" i="14"/>
  <c r="G629" i="14"/>
  <c r="G628" i="14"/>
  <c r="G627" i="14"/>
  <c r="G626" i="14"/>
  <c r="G625" i="14"/>
  <c r="G624" i="14"/>
  <c r="G623" i="14"/>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195" i="7"/>
  <c r="C9" i="7" l="1"/>
  <c r="G160" i="14" l="1"/>
  <c r="G159" i="14"/>
  <c r="G160" i="7"/>
  <c r="G159" i="7"/>
  <c r="B678" i="14" l="1"/>
  <c r="G668" i="14"/>
  <c r="E668" i="14"/>
  <c r="O658" i="14" l="1"/>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E658" i="14" l="1"/>
  <c r="E657" i="14"/>
  <c r="E656" i="14"/>
  <c r="E655" i="14"/>
  <c r="E654" i="14"/>
  <c r="E653" i="14"/>
  <c r="E652" i="14"/>
  <c r="E651" i="14"/>
  <c r="E650" i="14"/>
  <c r="E649" i="14"/>
  <c r="E648" i="14"/>
  <c r="E647" i="14"/>
  <c r="E646" i="14"/>
  <c r="E645" i="14"/>
  <c r="E644" i="14"/>
  <c r="E643" i="14"/>
  <c r="E642" i="14"/>
  <c r="E641" i="14"/>
  <c r="E640" i="14"/>
  <c r="E639" i="14"/>
  <c r="E638" i="14"/>
  <c r="E637" i="14"/>
  <c r="E636" i="14"/>
  <c r="E635" i="14"/>
  <c r="E634" i="14"/>
  <c r="E633" i="14"/>
  <c r="E632" i="14"/>
  <c r="E631" i="14"/>
  <c r="E630" i="14"/>
  <c r="E629" i="14"/>
  <c r="E628" i="14"/>
  <c r="E627" i="14"/>
  <c r="E626" i="14"/>
  <c r="E625" i="14"/>
  <c r="E624" i="14"/>
  <c r="E623" i="14"/>
  <c r="E622" i="14"/>
  <c r="E621" i="14"/>
  <c r="E620" i="14"/>
  <c r="E619" i="14"/>
  <c r="E618" i="14"/>
  <c r="E617" i="14"/>
  <c r="E616" i="14"/>
  <c r="E615" i="14"/>
  <c r="E614" i="14"/>
  <c r="E613" i="14"/>
  <c r="G215" i="7" l="1"/>
  <c r="G214" i="7"/>
  <c r="O213" i="7"/>
  <c r="O214" i="7"/>
  <c r="O216" i="7"/>
  <c r="O218"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6" i="7"/>
  <c r="O247" i="7"/>
  <c r="O248" i="7"/>
  <c r="O249" i="7"/>
  <c r="O250" i="7"/>
  <c r="O251" i="7"/>
  <c r="O252" i="7"/>
  <c r="O253" i="7"/>
  <c r="O254" i="7"/>
  <c r="O255" i="7"/>
  <c r="O256" i="7"/>
  <c r="O257" i="7"/>
  <c r="O212" i="7"/>
  <c r="E249" i="7"/>
  <c r="E248" i="7"/>
  <c r="E247" i="7"/>
  <c r="E246" i="7"/>
  <c r="E241" i="7"/>
  <c r="E240" i="7"/>
  <c r="E239" i="7"/>
  <c r="E238" i="7"/>
  <c r="E237" i="7"/>
  <c r="E236" i="7"/>
  <c r="E235" i="7"/>
  <c r="E234" i="7"/>
  <c r="E233" i="7"/>
  <c r="E257" i="7"/>
  <c r="E256" i="7"/>
  <c r="E255" i="7"/>
  <c r="E254" i="7"/>
  <c r="E253" i="7"/>
  <c r="E252" i="7"/>
  <c r="E251" i="7"/>
  <c r="E250" i="7"/>
  <c r="E245" i="7"/>
  <c r="E244" i="7"/>
  <c r="E243" i="7"/>
  <c r="E242" i="7"/>
  <c r="E232" i="7"/>
  <c r="E231" i="7"/>
  <c r="E230" i="7"/>
  <c r="E229" i="7"/>
  <c r="E228" i="7"/>
  <c r="E227" i="7"/>
  <c r="E226" i="7"/>
  <c r="E225" i="7"/>
  <c r="E224" i="7"/>
  <c r="E223" i="7"/>
  <c r="E222" i="7"/>
  <c r="E221" i="7"/>
  <c r="E220" i="7"/>
  <c r="E219" i="7"/>
  <c r="E218" i="7"/>
  <c r="E217" i="7"/>
  <c r="E216" i="7"/>
  <c r="E215" i="7"/>
  <c r="E214" i="7"/>
  <c r="E213" i="7"/>
  <c r="E212" i="7"/>
  <c r="M26" i="4" l="1"/>
  <c r="R12" i="4"/>
  <c r="R10" i="4"/>
  <c r="D10" i="4" l="1"/>
  <c r="AI34" i="4" l="1"/>
  <c r="AI29" i="4"/>
  <c r="AI28" i="4"/>
  <c r="M28" i="4"/>
  <c r="M27" i="4"/>
  <c r="R11" i="4"/>
  <c r="G201" i="14"/>
  <c r="G200" i="14"/>
  <c r="G201" i="7"/>
  <c r="G200" i="7"/>
  <c r="K56" i="5" l="1"/>
  <c r="F56" i="5"/>
  <c r="G158" i="14" l="1"/>
  <c r="G158" i="7"/>
  <c r="G157" i="14"/>
  <c r="G157" i="7"/>
  <c r="B277" i="7"/>
  <c r="A1" i="15" l="1"/>
  <c r="G611" i="14" l="1"/>
  <c r="E611" i="14"/>
  <c r="D611" i="14"/>
  <c r="O611" i="14" s="1"/>
  <c r="G210" i="7" l="1"/>
  <c r="E210" i="7"/>
  <c r="D210" i="7"/>
  <c r="O210" i="7" s="1"/>
  <c r="AD4" i="4"/>
  <c r="R4" i="4"/>
  <c r="W11" i="4" l="1"/>
  <c r="P269" i="7" l="1"/>
  <c r="AE9" i="4" l="1"/>
  <c r="G619" i="14" l="1"/>
  <c r="G178" i="14"/>
  <c r="G193" i="14"/>
  <c r="G177" i="14"/>
  <c r="G189" i="14"/>
  <c r="G192" i="14"/>
  <c r="G176" i="14"/>
  <c r="G190" i="14"/>
  <c r="G621" i="14"/>
  <c r="G180" i="14"/>
  <c r="G191" i="14"/>
  <c r="G175" i="14"/>
  <c r="G174" i="14"/>
  <c r="G179" i="14"/>
  <c r="G188" i="14"/>
  <c r="G182" i="14"/>
  <c r="G187" i="14"/>
  <c r="G186" i="14"/>
  <c r="G185" i="14"/>
  <c r="G622" i="14"/>
  <c r="G181" i="14"/>
  <c r="G184" i="14"/>
  <c r="G183" i="14"/>
  <c r="G620" i="14"/>
  <c r="G117" i="14"/>
  <c r="G118" i="14"/>
  <c r="G119" i="14"/>
  <c r="G120" i="14"/>
  <c r="G107" i="14"/>
  <c r="G110" i="14"/>
  <c r="G108" i="14"/>
  <c r="G618" i="14"/>
  <c r="G115" i="14"/>
  <c r="G617" i="14"/>
  <c r="G109" i="14"/>
  <c r="G616" i="14"/>
  <c r="G615" i="14"/>
  <c r="G105" i="14"/>
  <c r="G104" i="14"/>
  <c r="G96" i="14"/>
  <c r="G103" i="14"/>
  <c r="G102" i="14"/>
  <c r="G112" i="14"/>
  <c r="G100" i="14"/>
  <c r="G113" i="14"/>
  <c r="G99" i="14"/>
  <c r="G114" i="14"/>
  <c r="G97" i="14"/>
  <c r="G516" i="14"/>
  <c r="G532" i="14"/>
  <c r="G548" i="14"/>
  <c r="G564" i="14"/>
  <c r="G580" i="14"/>
  <c r="G596" i="14"/>
  <c r="G412" i="14"/>
  <c r="G428" i="14"/>
  <c r="G444" i="14"/>
  <c r="G460" i="14"/>
  <c r="G476" i="14"/>
  <c r="G492" i="14"/>
  <c r="G308" i="14"/>
  <c r="G324" i="14"/>
  <c r="G340" i="14"/>
  <c r="G356" i="14"/>
  <c r="G372" i="14"/>
  <c r="G388" i="14"/>
  <c r="G404" i="14"/>
  <c r="G227" i="14"/>
  <c r="G243" i="14"/>
  <c r="G259" i="14"/>
  <c r="G275" i="14"/>
  <c r="G291" i="14"/>
  <c r="G209" i="14"/>
  <c r="G95" i="14"/>
  <c r="G31" i="14"/>
  <c r="G47" i="14"/>
  <c r="G63" i="14"/>
  <c r="G79" i="14"/>
  <c r="G403" i="14"/>
  <c r="G517" i="14"/>
  <c r="G533" i="14"/>
  <c r="G549" i="14"/>
  <c r="G565" i="14"/>
  <c r="G581" i="14"/>
  <c r="G597" i="14"/>
  <c r="G413" i="14"/>
  <c r="G429" i="14"/>
  <c r="G445" i="14"/>
  <c r="G461" i="14"/>
  <c r="G477" i="14"/>
  <c r="G493" i="14"/>
  <c r="G309" i="14"/>
  <c r="G325" i="14"/>
  <c r="G341" i="14"/>
  <c r="G357" i="14"/>
  <c r="G373" i="14"/>
  <c r="G389" i="14"/>
  <c r="G405" i="14"/>
  <c r="G228" i="14"/>
  <c r="G244" i="14"/>
  <c r="G260" i="14"/>
  <c r="G276" i="14"/>
  <c r="G292" i="14"/>
  <c r="G210" i="14"/>
  <c r="G16" i="14"/>
  <c r="G32" i="14"/>
  <c r="G48" i="14"/>
  <c r="G64" i="14"/>
  <c r="G80" i="14"/>
  <c r="G78" i="14"/>
  <c r="G518" i="14"/>
  <c r="G534" i="14"/>
  <c r="G550" i="14"/>
  <c r="G566" i="14"/>
  <c r="G582" i="14"/>
  <c r="G598" i="14"/>
  <c r="G414" i="14"/>
  <c r="G430" i="14"/>
  <c r="G446" i="14"/>
  <c r="G462" i="14"/>
  <c r="G478" i="14"/>
  <c r="G494" i="14"/>
  <c r="G310" i="14"/>
  <c r="G326" i="14"/>
  <c r="G342" i="14"/>
  <c r="G358" i="14"/>
  <c r="G374" i="14"/>
  <c r="G390" i="14"/>
  <c r="G406" i="14"/>
  <c r="G229" i="14"/>
  <c r="G245" i="14"/>
  <c r="G261" i="14"/>
  <c r="G277" i="14"/>
  <c r="G293" i="14"/>
  <c r="G211" i="14"/>
  <c r="G17" i="14"/>
  <c r="G33" i="14"/>
  <c r="G49" i="14"/>
  <c r="G65" i="14"/>
  <c r="G81" i="14"/>
  <c r="G30" i="14"/>
  <c r="G519" i="14"/>
  <c r="G535" i="14"/>
  <c r="G551" i="14"/>
  <c r="G567" i="14"/>
  <c r="G583" i="14"/>
  <c r="G599" i="14"/>
  <c r="G415" i="14"/>
  <c r="G431" i="14"/>
  <c r="G447" i="14"/>
  <c r="G463" i="14"/>
  <c r="G479" i="14"/>
  <c r="G495" i="14"/>
  <c r="G311" i="14"/>
  <c r="G327" i="14"/>
  <c r="G343" i="14"/>
  <c r="G359" i="14"/>
  <c r="G375" i="14"/>
  <c r="G391" i="14"/>
  <c r="G307" i="14"/>
  <c r="G230" i="14"/>
  <c r="G246" i="14"/>
  <c r="G262" i="14"/>
  <c r="G278" i="14"/>
  <c r="G294" i="14"/>
  <c r="G212" i="14"/>
  <c r="G18" i="14"/>
  <c r="G34" i="14"/>
  <c r="G50" i="14"/>
  <c r="G66" i="14"/>
  <c r="G82" i="14"/>
  <c r="G520" i="14"/>
  <c r="G536" i="14"/>
  <c r="G552" i="14"/>
  <c r="G568" i="14"/>
  <c r="G584" i="14"/>
  <c r="G600" i="14"/>
  <c r="G416" i="14"/>
  <c r="G432" i="14"/>
  <c r="G448" i="14"/>
  <c r="G464" i="14"/>
  <c r="G480" i="14"/>
  <c r="G496" i="14"/>
  <c r="G312" i="14"/>
  <c r="G328" i="14"/>
  <c r="G344" i="14"/>
  <c r="G360" i="14"/>
  <c r="G376" i="14"/>
  <c r="G392" i="14"/>
  <c r="G306" i="14"/>
  <c r="G231" i="14"/>
  <c r="G247" i="14"/>
  <c r="G263" i="14"/>
  <c r="G279" i="14"/>
  <c r="G295" i="14"/>
  <c r="G213" i="14"/>
  <c r="G19" i="14"/>
  <c r="G35" i="14"/>
  <c r="G51" i="14"/>
  <c r="G67" i="14"/>
  <c r="G83" i="14"/>
  <c r="G242" i="14"/>
  <c r="G521" i="14"/>
  <c r="G537" i="14"/>
  <c r="G553" i="14"/>
  <c r="G569" i="14"/>
  <c r="G585" i="14"/>
  <c r="G601" i="14"/>
  <c r="G417" i="14"/>
  <c r="G433" i="14"/>
  <c r="G449" i="14"/>
  <c r="G465" i="14"/>
  <c r="G481" i="14"/>
  <c r="G497" i="14"/>
  <c r="G313" i="14"/>
  <c r="G329" i="14"/>
  <c r="G345" i="14"/>
  <c r="G361" i="14"/>
  <c r="G377" i="14"/>
  <c r="G393" i="14"/>
  <c r="G216" i="14"/>
  <c r="G232" i="14"/>
  <c r="G248" i="14"/>
  <c r="G264" i="14"/>
  <c r="G280" i="14"/>
  <c r="G296" i="14"/>
  <c r="G214" i="14"/>
  <c r="G20" i="14"/>
  <c r="G36" i="14"/>
  <c r="G52" i="14"/>
  <c r="G68" i="14"/>
  <c r="G84" i="14"/>
  <c r="G258" i="14"/>
  <c r="G522" i="14"/>
  <c r="G538" i="14"/>
  <c r="G554" i="14"/>
  <c r="G570" i="14"/>
  <c r="G586" i="14"/>
  <c r="G602" i="14"/>
  <c r="G418" i="14"/>
  <c r="G434" i="14"/>
  <c r="G450" i="14"/>
  <c r="G466" i="14"/>
  <c r="G482" i="14"/>
  <c r="G498" i="14"/>
  <c r="G314" i="14"/>
  <c r="G330" i="14"/>
  <c r="G346" i="14"/>
  <c r="G362" i="14"/>
  <c r="G378" i="14"/>
  <c r="G394" i="14"/>
  <c r="G217" i="14"/>
  <c r="G233" i="14"/>
  <c r="G249" i="14"/>
  <c r="G265" i="14"/>
  <c r="G281" i="14"/>
  <c r="G297" i="14"/>
  <c r="G215" i="14"/>
  <c r="G21" i="14"/>
  <c r="G37" i="14"/>
  <c r="G53" i="14"/>
  <c r="G69" i="14"/>
  <c r="G85" i="14"/>
  <c r="G355" i="14"/>
  <c r="G523" i="14"/>
  <c r="G539" i="14"/>
  <c r="G555" i="14"/>
  <c r="G571" i="14"/>
  <c r="G587" i="14"/>
  <c r="G603" i="14"/>
  <c r="G419" i="14"/>
  <c r="G435" i="14"/>
  <c r="G451" i="14"/>
  <c r="G467" i="14"/>
  <c r="G483" i="14"/>
  <c r="G499" i="14"/>
  <c r="G315" i="14"/>
  <c r="G331" i="14"/>
  <c r="G347" i="14"/>
  <c r="G363" i="14"/>
  <c r="G379" i="14"/>
  <c r="G395" i="14"/>
  <c r="G218" i="14"/>
  <c r="G234" i="14"/>
  <c r="G250" i="14"/>
  <c r="G266" i="14"/>
  <c r="G282" i="14"/>
  <c r="G298" i="14"/>
  <c r="G207" i="14"/>
  <c r="G22" i="14"/>
  <c r="G38" i="14"/>
  <c r="G54" i="14"/>
  <c r="G70" i="14"/>
  <c r="G86" i="14"/>
  <c r="G62" i="14"/>
  <c r="G508" i="14"/>
  <c r="G524" i="14"/>
  <c r="G540" i="14"/>
  <c r="G556" i="14"/>
  <c r="G572" i="14"/>
  <c r="G588" i="14"/>
  <c r="G604" i="14"/>
  <c r="G420" i="14"/>
  <c r="G436" i="14"/>
  <c r="G452" i="14"/>
  <c r="G468" i="14"/>
  <c r="G484" i="14"/>
  <c r="G500" i="14"/>
  <c r="G316" i="14"/>
  <c r="G332" i="14"/>
  <c r="G348" i="14"/>
  <c r="G364" i="14"/>
  <c r="G380" i="14"/>
  <c r="G396" i="14"/>
  <c r="G219" i="14"/>
  <c r="G235" i="14"/>
  <c r="G251" i="14"/>
  <c r="G267" i="14"/>
  <c r="G283" i="14"/>
  <c r="G299" i="14"/>
  <c r="G23" i="14"/>
  <c r="G39" i="14"/>
  <c r="G55" i="14"/>
  <c r="G71" i="14"/>
  <c r="G87" i="14"/>
  <c r="G387" i="14"/>
  <c r="G509" i="14"/>
  <c r="G525" i="14"/>
  <c r="G541" i="14"/>
  <c r="G557" i="14"/>
  <c r="G573" i="14"/>
  <c r="G589" i="14"/>
  <c r="G605" i="14"/>
  <c r="G421" i="14"/>
  <c r="G437" i="14"/>
  <c r="G453" i="14"/>
  <c r="G469" i="14"/>
  <c r="G485" i="14"/>
  <c r="G501" i="14"/>
  <c r="G317" i="14"/>
  <c r="G333" i="14"/>
  <c r="G349" i="14"/>
  <c r="G365" i="14"/>
  <c r="G381" i="14"/>
  <c r="G397" i="14"/>
  <c r="G220" i="14"/>
  <c r="G236" i="14"/>
  <c r="G252" i="14"/>
  <c r="G268" i="14"/>
  <c r="G284" i="14"/>
  <c r="G300" i="14"/>
  <c r="G24" i="14"/>
  <c r="G40" i="14"/>
  <c r="G56" i="14"/>
  <c r="G72" i="14"/>
  <c r="G88" i="14"/>
  <c r="G290" i="14"/>
  <c r="G510" i="14"/>
  <c r="G526" i="14"/>
  <c r="G542" i="14"/>
  <c r="G558" i="14"/>
  <c r="G574" i="14"/>
  <c r="G590" i="14"/>
  <c r="G606" i="14"/>
  <c r="G422" i="14"/>
  <c r="G438" i="14"/>
  <c r="G454" i="14"/>
  <c r="G470" i="14"/>
  <c r="G486" i="14"/>
  <c r="G502" i="14"/>
  <c r="G318" i="14"/>
  <c r="G334" i="14"/>
  <c r="G350" i="14"/>
  <c r="G366" i="14"/>
  <c r="G382" i="14"/>
  <c r="G398" i="14"/>
  <c r="G221" i="14"/>
  <c r="G237" i="14"/>
  <c r="G253" i="14"/>
  <c r="G269" i="14"/>
  <c r="G285" i="14"/>
  <c r="G301" i="14"/>
  <c r="G25" i="14"/>
  <c r="G41" i="14"/>
  <c r="G57" i="14"/>
  <c r="G73" i="14"/>
  <c r="G89" i="14"/>
  <c r="G274" i="14"/>
  <c r="G511" i="14"/>
  <c r="G527" i="14"/>
  <c r="G543" i="14"/>
  <c r="G559" i="14"/>
  <c r="G575" i="14"/>
  <c r="G591" i="14"/>
  <c r="G507" i="14"/>
  <c r="G423" i="14"/>
  <c r="G439" i="14"/>
  <c r="G455" i="14"/>
  <c r="G471" i="14"/>
  <c r="G487" i="14"/>
  <c r="G503" i="14"/>
  <c r="G319" i="14"/>
  <c r="G335" i="14"/>
  <c r="G351" i="14"/>
  <c r="G367" i="14"/>
  <c r="G383" i="14"/>
  <c r="G399" i="14"/>
  <c r="G222" i="14"/>
  <c r="G238" i="14"/>
  <c r="G254" i="14"/>
  <c r="G270" i="14"/>
  <c r="G286" i="14"/>
  <c r="G302" i="14"/>
  <c r="G26" i="14"/>
  <c r="G42" i="14"/>
  <c r="G58" i="14"/>
  <c r="G74" i="14"/>
  <c r="G90" i="14"/>
  <c r="G226" i="14"/>
  <c r="G512" i="14"/>
  <c r="G528" i="14"/>
  <c r="G544" i="14"/>
  <c r="G560" i="14"/>
  <c r="G576" i="14"/>
  <c r="G592" i="14"/>
  <c r="G408" i="14"/>
  <c r="G424" i="14"/>
  <c r="G440" i="14"/>
  <c r="G456" i="14"/>
  <c r="G472" i="14"/>
  <c r="G488" i="14"/>
  <c r="G504" i="14"/>
  <c r="G320" i="14"/>
  <c r="G336" i="14"/>
  <c r="G352" i="14"/>
  <c r="G368" i="14"/>
  <c r="G384" i="14"/>
  <c r="G400" i="14"/>
  <c r="G223" i="14"/>
  <c r="G239" i="14"/>
  <c r="G255" i="14"/>
  <c r="G271" i="14"/>
  <c r="G287" i="14"/>
  <c r="G303" i="14"/>
  <c r="G27" i="14"/>
  <c r="G43" i="14"/>
  <c r="G59" i="14"/>
  <c r="G75" i="14"/>
  <c r="G91" i="14"/>
  <c r="G371" i="14"/>
  <c r="G513" i="14"/>
  <c r="G529" i="14"/>
  <c r="G545" i="14"/>
  <c r="G561" i="14"/>
  <c r="G577" i="14"/>
  <c r="G593" i="14"/>
  <c r="G409" i="14"/>
  <c r="G425" i="14"/>
  <c r="G441" i="14"/>
  <c r="G457" i="14"/>
  <c r="G473" i="14"/>
  <c r="G489" i="14"/>
  <c r="G505" i="14"/>
  <c r="G321" i="14"/>
  <c r="G337" i="14"/>
  <c r="G353" i="14"/>
  <c r="G369" i="14"/>
  <c r="G385" i="14"/>
  <c r="G401" i="14"/>
  <c r="G224" i="14"/>
  <c r="G240" i="14"/>
  <c r="G256" i="14"/>
  <c r="G272" i="14"/>
  <c r="G288" i="14"/>
  <c r="G304" i="14"/>
  <c r="G28" i="14"/>
  <c r="G44" i="14"/>
  <c r="G60" i="14"/>
  <c r="G76" i="14"/>
  <c r="G92" i="14"/>
  <c r="G208" i="14"/>
  <c r="G514" i="14"/>
  <c r="G530" i="14"/>
  <c r="G546" i="14"/>
  <c r="G562" i="14"/>
  <c r="G578" i="14"/>
  <c r="G594" i="14"/>
  <c r="G410" i="14"/>
  <c r="G426" i="14"/>
  <c r="G442" i="14"/>
  <c r="G458" i="14"/>
  <c r="G474" i="14"/>
  <c r="G490" i="14"/>
  <c r="G506" i="14"/>
  <c r="G322" i="14"/>
  <c r="G338" i="14"/>
  <c r="G354" i="14"/>
  <c r="G370" i="14"/>
  <c r="G386" i="14"/>
  <c r="G402" i="14"/>
  <c r="G225" i="14"/>
  <c r="G241" i="14"/>
  <c r="G257" i="14"/>
  <c r="G273" i="14"/>
  <c r="G289" i="14"/>
  <c r="G305" i="14"/>
  <c r="G29" i="14"/>
  <c r="G45" i="14"/>
  <c r="G61" i="14"/>
  <c r="G77" i="14"/>
  <c r="G93" i="14"/>
  <c r="G46" i="14"/>
  <c r="G515" i="14"/>
  <c r="G531" i="14"/>
  <c r="G547" i="14"/>
  <c r="G563" i="14"/>
  <c r="G579" i="14"/>
  <c r="G595" i="14"/>
  <c r="G411" i="14"/>
  <c r="G427" i="14"/>
  <c r="G443" i="14"/>
  <c r="G459" i="14"/>
  <c r="G475" i="14"/>
  <c r="G491" i="14"/>
  <c r="G407" i="14"/>
  <c r="G323" i="14"/>
  <c r="G339" i="14"/>
  <c r="G94" i="14"/>
  <c r="G198" i="7"/>
  <c r="G196" i="7"/>
  <c r="G91" i="7"/>
  <c r="G75" i="7"/>
  <c r="G59" i="7"/>
  <c r="G43" i="7"/>
  <c r="G27" i="7"/>
  <c r="G90" i="7"/>
  <c r="G74" i="7"/>
  <c r="G58" i="7"/>
  <c r="G42" i="7"/>
  <c r="G26" i="7"/>
  <c r="G80" i="7"/>
  <c r="G94" i="7"/>
  <c r="G92" i="7"/>
  <c r="G89" i="7"/>
  <c r="G73" i="7"/>
  <c r="G57" i="7"/>
  <c r="G41" i="7"/>
  <c r="G25" i="7"/>
  <c r="G88" i="7"/>
  <c r="G72" i="7"/>
  <c r="G56" i="7"/>
  <c r="G40" i="7"/>
  <c r="G24" i="7"/>
  <c r="G18" i="7"/>
  <c r="G64" i="7"/>
  <c r="G63" i="7"/>
  <c r="G46" i="7"/>
  <c r="G61" i="7"/>
  <c r="G76" i="7"/>
  <c r="G87" i="7"/>
  <c r="G71" i="7"/>
  <c r="G55" i="7"/>
  <c r="G39" i="7"/>
  <c r="G23" i="7"/>
  <c r="G50" i="7"/>
  <c r="G81" i="7"/>
  <c r="G32" i="7"/>
  <c r="G31" i="7"/>
  <c r="G77" i="7"/>
  <c r="G44" i="7"/>
  <c r="G86" i="7"/>
  <c r="G70" i="7"/>
  <c r="G54" i="7"/>
  <c r="G38" i="7"/>
  <c r="G22" i="7"/>
  <c r="G21" i="7"/>
  <c r="G49" i="7"/>
  <c r="G16" i="7"/>
  <c r="G78" i="7"/>
  <c r="G45" i="7"/>
  <c r="G85" i="7"/>
  <c r="G69" i="7"/>
  <c r="G53" i="7"/>
  <c r="G37" i="7"/>
  <c r="G34" i="7"/>
  <c r="G17" i="7"/>
  <c r="G79" i="7"/>
  <c r="G62" i="7"/>
  <c r="G29" i="7"/>
  <c r="G84" i="7"/>
  <c r="G68" i="7"/>
  <c r="G52" i="7"/>
  <c r="G36" i="7"/>
  <c r="G20" i="7"/>
  <c r="G82" i="7"/>
  <c r="G33" i="7"/>
  <c r="G95" i="7"/>
  <c r="G30" i="7"/>
  <c r="G60" i="7"/>
  <c r="G83" i="7"/>
  <c r="G67" i="7"/>
  <c r="G51" i="7"/>
  <c r="G35" i="7"/>
  <c r="G19" i="7"/>
  <c r="G66" i="7"/>
  <c r="G65" i="7"/>
  <c r="G48" i="7"/>
  <c r="G47" i="7"/>
  <c r="G93" i="7"/>
  <c r="G28" i="7"/>
  <c r="G118" i="7"/>
  <c r="G117" i="7"/>
  <c r="G101" i="7"/>
  <c r="G116" i="7"/>
  <c r="G100" i="7"/>
  <c r="G115" i="7"/>
  <c r="G99" i="7"/>
  <c r="G114" i="7"/>
  <c r="G98" i="7"/>
  <c r="G113" i="7"/>
  <c r="G97" i="7"/>
  <c r="G112" i="7"/>
  <c r="G96" i="7"/>
  <c r="G111" i="7"/>
  <c r="G110" i="7"/>
  <c r="G108" i="7"/>
  <c r="G107" i="7"/>
  <c r="G121" i="7"/>
  <c r="G105" i="7"/>
  <c r="G104" i="7"/>
  <c r="G103" i="7"/>
  <c r="G109" i="7"/>
  <c r="G106" i="7"/>
  <c r="G120" i="7"/>
  <c r="G119" i="7"/>
  <c r="G102" i="7"/>
  <c r="G189" i="7"/>
  <c r="G188" i="7"/>
  <c r="G187" i="7"/>
  <c r="G185" i="7"/>
  <c r="G182" i="7"/>
  <c r="G192" i="7"/>
  <c r="G190" i="7"/>
  <c r="G186" i="7"/>
  <c r="G184" i="7"/>
  <c r="G183" i="7"/>
  <c r="G177" i="7"/>
  <c r="G176" i="7"/>
  <c r="G175" i="7"/>
  <c r="G181" i="7"/>
  <c r="G180" i="7"/>
  <c r="G179" i="7"/>
  <c r="G178" i="7"/>
  <c r="G193" i="7"/>
  <c r="G191" i="7"/>
  <c r="G174" i="7"/>
  <c r="AJ205" i="7"/>
  <c r="H6" i="7"/>
  <c r="G198" i="14"/>
  <c r="G196" i="14"/>
  <c r="Q5" i="14"/>
  <c r="AJ205" i="14" s="1"/>
  <c r="E610" i="14"/>
  <c r="E609" i="14"/>
  <c r="G610" i="14"/>
  <c r="G609" i="14"/>
  <c r="D610" i="14"/>
  <c r="O610" i="14" s="1"/>
  <c r="D609" i="14"/>
  <c r="O609" i="14" s="1"/>
  <c r="D208" i="7"/>
  <c r="O208" i="7" s="1"/>
  <c r="E209" i="7"/>
  <c r="E208" i="7"/>
  <c r="G209" i="7"/>
  <c r="G208" i="7"/>
  <c r="D209" i="7"/>
  <c r="O209" i="7" s="1"/>
  <c r="AB14" i="4" l="1"/>
  <c r="AB15" i="4"/>
  <c r="AD28" i="4"/>
  <c r="AD30" i="4"/>
  <c r="AD29" i="4"/>
  <c r="W28" i="4"/>
  <c r="W29" i="4"/>
  <c r="W30" i="4"/>
  <c r="M10" i="4"/>
  <c r="AH19" i="4" l="1"/>
  <c r="G608" i="14" l="1"/>
  <c r="F207" i="7"/>
  <c r="F204" i="7"/>
  <c r="E608" i="14"/>
  <c r="D608" i="14"/>
  <c r="O608" i="14" s="1"/>
  <c r="G204" i="14"/>
  <c r="G204" i="7"/>
  <c r="AI25" i="4" l="1"/>
  <c r="AI24" i="4"/>
  <c r="G207" i="7"/>
  <c r="E207" i="7"/>
  <c r="D207" i="7"/>
  <c r="O207" i="7" s="1"/>
  <c r="D206" i="7"/>
  <c r="O206" i="7" s="1"/>
  <c r="E206" i="7"/>
  <c r="F206" i="7"/>
  <c r="G206" i="7"/>
  <c r="W27" i="4"/>
  <c r="AD27" i="4"/>
  <c r="W26" i="4"/>
  <c r="D198" i="14"/>
  <c r="O198" i="14" s="1"/>
  <c r="F198" i="14"/>
  <c r="E198" i="14"/>
  <c r="F198" i="7"/>
  <c r="E198" i="7"/>
  <c r="D198" i="7"/>
  <c r="O198" i="7" s="1"/>
  <c r="AH18" i="4" l="1"/>
  <c r="C22" i="4" l="1"/>
  <c r="F126" i="7"/>
  <c r="F121" i="7"/>
  <c r="F116" i="7"/>
  <c r="F111" i="7"/>
  <c r="F106" i="7"/>
  <c r="F98" i="7"/>
  <c r="F101" i="7"/>
  <c r="D111" i="7"/>
  <c r="O111" i="7" s="1"/>
  <c r="D106" i="7"/>
  <c r="O106" i="7" s="1"/>
  <c r="D101" i="7"/>
  <c r="O101" i="7" s="1"/>
  <c r="D98" i="7"/>
  <c r="O98" i="7" s="1"/>
  <c r="AB41" i="4" l="1"/>
  <c r="R41" i="4"/>
  <c r="P6" i="14"/>
  <c r="P5" i="14"/>
  <c r="P4" i="14"/>
  <c r="P6" i="7" l="1"/>
  <c r="P5" i="7"/>
  <c r="P4" i="7"/>
  <c r="B3" i="5"/>
  <c r="E9" i="4" l="1"/>
  <c r="E8" i="4"/>
  <c r="E7" i="4"/>
  <c r="O6" i="16" l="1"/>
  <c r="K66" i="16" l="1"/>
  <c r="A66" i="16"/>
  <c r="E66" i="16"/>
  <c r="C3" i="16"/>
  <c r="N11" i="14"/>
  <c r="M11" i="14"/>
  <c r="N11" i="7"/>
  <c r="M11" i="7"/>
  <c r="Q4" i="4" l="1"/>
  <c r="D173" i="7" l="1"/>
  <c r="D171" i="7"/>
  <c r="D169" i="7"/>
  <c r="BO9" i="9" l="1"/>
  <c r="BJ9" i="9"/>
  <c r="BI9" i="9"/>
  <c r="BG9" i="9"/>
  <c r="BF9" i="9"/>
  <c r="BE9" i="9"/>
  <c r="BA9" i="9"/>
  <c r="AZ9" i="9"/>
  <c r="AX9" i="9"/>
  <c r="AT9" i="9"/>
  <c r="AS9" i="9"/>
  <c r="AR9" i="9"/>
  <c r="AQ9" i="9"/>
  <c r="AM9" i="9"/>
  <c r="AH9" i="9"/>
  <c r="AG9" i="9"/>
  <c r="AE9" i="9"/>
  <c r="AD9" i="9"/>
  <c r="AC9" i="9"/>
  <c r="P9" i="9"/>
  <c r="W9" i="9"/>
  <c r="V9" i="9"/>
  <c r="U9" i="9"/>
  <c r="T9" i="9"/>
  <c r="S9" i="9"/>
  <c r="R9" i="9"/>
  <c r="O9" i="9"/>
  <c r="N9" i="9"/>
  <c r="H9" i="9"/>
  <c r="G9" i="9"/>
  <c r="F9" i="9"/>
  <c r="E9" i="9"/>
  <c r="D9" i="9"/>
  <c r="C9" i="9"/>
  <c r="E195" i="7" l="1"/>
  <c r="E195" i="14"/>
  <c r="H213" i="4"/>
  <c r="F508" i="14" l="1"/>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5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407" i="14"/>
  <c r="F406"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307" i="14"/>
  <c r="H5" i="7" l="1"/>
  <c r="D5" i="15"/>
  <c r="R17" i="7" l="1"/>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16" i="7"/>
  <c r="G156" i="7" l="1"/>
  <c r="G151" i="7"/>
  <c r="G146" i="7"/>
  <c r="G141" i="7"/>
  <c r="G136" i="7"/>
  <c r="G131" i="7"/>
  <c r="G126" i="7"/>
  <c r="G156" i="14"/>
  <c r="G151" i="14"/>
  <c r="G146" i="14"/>
  <c r="G141" i="14"/>
  <c r="G136" i="14"/>
  <c r="G131" i="14"/>
  <c r="G126" i="14"/>
  <c r="G121" i="14"/>
  <c r="G116" i="14"/>
  <c r="G111" i="14"/>
  <c r="G106" i="14"/>
  <c r="G98" i="14"/>
  <c r="D197" i="14" l="1"/>
  <c r="O197" i="14" s="1"/>
  <c r="G197" i="14"/>
  <c r="F197" i="14"/>
  <c r="E197" i="14"/>
  <c r="F197" i="7" l="1"/>
  <c r="G197" i="7"/>
  <c r="E197" i="7"/>
  <c r="D197" i="7"/>
  <c r="O197" i="7" s="1"/>
  <c r="N4" i="14"/>
  <c r="A7" i="15" l="1"/>
  <c r="F7" i="15" l="1"/>
  <c r="F5" i="15"/>
  <c r="N4" i="7" l="1"/>
  <c r="B5" i="15" l="1"/>
  <c r="A3" i="15"/>
  <c r="D5" i="4"/>
  <c r="N8" i="14" l="1"/>
  <c r="N7" i="14"/>
  <c r="D8" i="14"/>
  <c r="D7" i="14"/>
  <c r="D6" i="14"/>
  <c r="J6" i="5" l="1"/>
  <c r="C40" i="5" l="1"/>
  <c r="C39" i="5"/>
  <c r="G38" i="5"/>
  <c r="C38" i="5"/>
  <c r="B37" i="5"/>
  <c r="D7" i="15" l="1"/>
  <c r="B7" i="15"/>
  <c r="AC4" i="4" l="1"/>
  <c r="BW7" i="9"/>
  <c r="BW6" i="9"/>
  <c r="BW5" i="9" l="1"/>
  <c r="AI7" i="9"/>
  <c r="AI6" i="9"/>
  <c r="AI5" i="9"/>
  <c r="AY7" i="9"/>
  <c r="AY6" i="9"/>
  <c r="AY4" i="9"/>
  <c r="K7" i="9"/>
  <c r="K6" i="9"/>
  <c r="K4" i="9"/>
  <c r="BC4" i="9"/>
  <c r="CB2" i="9"/>
  <c r="O4" i="9"/>
  <c r="AN2" i="9"/>
  <c r="CB1" i="9"/>
  <c r="AN1" i="9"/>
  <c r="N8" i="7" l="1"/>
  <c r="N7" i="7"/>
  <c r="D8" i="7" l="1"/>
  <c r="D7" i="7"/>
  <c r="D6" i="7"/>
  <c r="E606" i="14" l="1"/>
  <c r="D606" i="14"/>
  <c r="O606" i="14" s="1"/>
  <c r="E605" i="14"/>
  <c r="D605" i="14"/>
  <c r="O605" i="14" s="1"/>
  <c r="E604" i="14"/>
  <c r="D604" i="14"/>
  <c r="O604" i="14" s="1"/>
  <c r="E603" i="14"/>
  <c r="D603" i="14"/>
  <c r="O603" i="14" s="1"/>
  <c r="E602" i="14"/>
  <c r="D602" i="14"/>
  <c r="O602" i="14" s="1"/>
  <c r="E601" i="14"/>
  <c r="D601" i="14"/>
  <c r="O601" i="14" s="1"/>
  <c r="E600" i="14"/>
  <c r="D600" i="14"/>
  <c r="O600" i="14" s="1"/>
  <c r="E599" i="14"/>
  <c r="D599" i="14"/>
  <c r="O599" i="14" s="1"/>
  <c r="E598" i="14"/>
  <c r="D598" i="14"/>
  <c r="O598" i="14" s="1"/>
  <c r="E597" i="14"/>
  <c r="D597" i="14"/>
  <c r="O597" i="14" s="1"/>
  <c r="E596" i="14"/>
  <c r="D596" i="14"/>
  <c r="O596" i="14" s="1"/>
  <c r="E595" i="14"/>
  <c r="D595" i="14"/>
  <c r="O595" i="14" s="1"/>
  <c r="E594" i="14"/>
  <c r="D594" i="14"/>
  <c r="O594" i="14" s="1"/>
  <c r="E593" i="14"/>
  <c r="D593" i="14"/>
  <c r="O593" i="14" s="1"/>
  <c r="E592" i="14"/>
  <c r="D592" i="14"/>
  <c r="O592" i="14" s="1"/>
  <c r="E591" i="14"/>
  <c r="D591" i="14"/>
  <c r="O591" i="14" s="1"/>
  <c r="E590" i="14"/>
  <c r="D590" i="14"/>
  <c r="O590" i="14" s="1"/>
  <c r="E589" i="14"/>
  <c r="D589" i="14"/>
  <c r="O589" i="14" s="1"/>
  <c r="E588" i="14"/>
  <c r="D588" i="14"/>
  <c r="O588" i="14" s="1"/>
  <c r="E587" i="14"/>
  <c r="D587" i="14"/>
  <c r="O587" i="14" s="1"/>
  <c r="E586" i="14"/>
  <c r="D586" i="14"/>
  <c r="O586" i="14" s="1"/>
  <c r="E585" i="14"/>
  <c r="D585" i="14"/>
  <c r="O585" i="14" s="1"/>
  <c r="E584" i="14"/>
  <c r="D584" i="14"/>
  <c r="O584" i="14" s="1"/>
  <c r="E583" i="14"/>
  <c r="D583" i="14"/>
  <c r="O583" i="14" s="1"/>
  <c r="E582" i="14"/>
  <c r="D582" i="14"/>
  <c r="O582" i="14" s="1"/>
  <c r="E581" i="14"/>
  <c r="D581" i="14"/>
  <c r="O581" i="14" s="1"/>
  <c r="E580" i="14"/>
  <c r="D580" i="14"/>
  <c r="O580" i="14" s="1"/>
  <c r="E579" i="14"/>
  <c r="D579" i="14"/>
  <c r="O579" i="14" s="1"/>
  <c r="E578" i="14"/>
  <c r="D578" i="14"/>
  <c r="O578" i="14" s="1"/>
  <c r="E577" i="14"/>
  <c r="D577" i="14"/>
  <c r="O577" i="14" s="1"/>
  <c r="E576" i="14"/>
  <c r="D576" i="14"/>
  <c r="O576" i="14" s="1"/>
  <c r="E575" i="14"/>
  <c r="D575" i="14"/>
  <c r="O575" i="14" s="1"/>
  <c r="E574" i="14"/>
  <c r="D574" i="14"/>
  <c r="O574" i="14" s="1"/>
  <c r="E573" i="14"/>
  <c r="D573" i="14"/>
  <c r="O573" i="14" s="1"/>
  <c r="E572" i="14"/>
  <c r="D572" i="14"/>
  <c r="O572" i="14" s="1"/>
  <c r="E571" i="14"/>
  <c r="D571" i="14"/>
  <c r="O571" i="14" s="1"/>
  <c r="E570" i="14"/>
  <c r="D570" i="14"/>
  <c r="O570" i="14" s="1"/>
  <c r="E569" i="14"/>
  <c r="D569" i="14"/>
  <c r="O569" i="14" s="1"/>
  <c r="E568" i="14"/>
  <c r="D568" i="14"/>
  <c r="O568" i="14" s="1"/>
  <c r="E567" i="14"/>
  <c r="D567" i="14"/>
  <c r="O567" i="14" s="1"/>
  <c r="E566" i="14"/>
  <c r="D566" i="14"/>
  <c r="O566" i="14" s="1"/>
  <c r="E565" i="14"/>
  <c r="D565" i="14"/>
  <c r="O565" i="14" s="1"/>
  <c r="E564" i="14"/>
  <c r="D564" i="14"/>
  <c r="O564" i="14" s="1"/>
  <c r="E563" i="14"/>
  <c r="D563" i="14"/>
  <c r="O563" i="14" s="1"/>
  <c r="E562" i="14"/>
  <c r="D562" i="14"/>
  <c r="O562" i="14" s="1"/>
  <c r="E561" i="14"/>
  <c r="D561" i="14"/>
  <c r="O561" i="14" s="1"/>
  <c r="E560" i="14"/>
  <c r="D560" i="14"/>
  <c r="O560" i="14" s="1"/>
  <c r="E559" i="14"/>
  <c r="D559" i="14"/>
  <c r="O559" i="14" s="1"/>
  <c r="E558" i="14"/>
  <c r="D558" i="14"/>
  <c r="O558" i="14" s="1"/>
  <c r="E557" i="14"/>
  <c r="D557" i="14"/>
  <c r="O557" i="14" s="1"/>
  <c r="E556" i="14"/>
  <c r="D556" i="14"/>
  <c r="O556" i="14" s="1"/>
  <c r="E555" i="14"/>
  <c r="D555" i="14"/>
  <c r="O555" i="14" s="1"/>
  <c r="E554" i="14"/>
  <c r="D554" i="14"/>
  <c r="O554" i="14" s="1"/>
  <c r="E553" i="14"/>
  <c r="D553" i="14"/>
  <c r="O553" i="14" s="1"/>
  <c r="E552" i="14"/>
  <c r="D552" i="14"/>
  <c r="O552" i="14" s="1"/>
  <c r="E551" i="14"/>
  <c r="D551" i="14"/>
  <c r="O551" i="14" s="1"/>
  <c r="E550" i="14"/>
  <c r="D550" i="14"/>
  <c r="O550" i="14" s="1"/>
  <c r="E549" i="14"/>
  <c r="D549" i="14"/>
  <c r="O549" i="14" s="1"/>
  <c r="E548" i="14"/>
  <c r="D548" i="14"/>
  <c r="O548" i="14" s="1"/>
  <c r="E547" i="14"/>
  <c r="D547" i="14"/>
  <c r="O547" i="14" s="1"/>
  <c r="E546" i="14"/>
  <c r="D546" i="14"/>
  <c r="O546" i="14" s="1"/>
  <c r="E545" i="14"/>
  <c r="D545" i="14"/>
  <c r="O545" i="14" s="1"/>
  <c r="E544" i="14"/>
  <c r="D544" i="14"/>
  <c r="O544" i="14" s="1"/>
  <c r="E543" i="14"/>
  <c r="D543" i="14"/>
  <c r="O543" i="14" s="1"/>
  <c r="E542" i="14"/>
  <c r="D542" i="14"/>
  <c r="O542" i="14" s="1"/>
  <c r="E541" i="14"/>
  <c r="D541" i="14"/>
  <c r="O541" i="14" s="1"/>
  <c r="E540" i="14"/>
  <c r="D540" i="14"/>
  <c r="O540" i="14" s="1"/>
  <c r="E539" i="14"/>
  <c r="D539" i="14"/>
  <c r="O539" i="14" s="1"/>
  <c r="E538" i="14"/>
  <c r="D538" i="14"/>
  <c r="O538" i="14" s="1"/>
  <c r="E537" i="14"/>
  <c r="D537" i="14"/>
  <c r="O537" i="14" s="1"/>
  <c r="E536" i="14"/>
  <c r="D536" i="14"/>
  <c r="O536" i="14" s="1"/>
  <c r="E535" i="14"/>
  <c r="D535" i="14"/>
  <c r="O535" i="14" s="1"/>
  <c r="E534" i="14"/>
  <c r="D534" i="14"/>
  <c r="O534" i="14" s="1"/>
  <c r="E533" i="14"/>
  <c r="D533" i="14"/>
  <c r="O533" i="14" s="1"/>
  <c r="E532" i="14"/>
  <c r="D532" i="14"/>
  <c r="O532" i="14" s="1"/>
  <c r="E531" i="14"/>
  <c r="D531" i="14"/>
  <c r="O531" i="14" s="1"/>
  <c r="E530" i="14"/>
  <c r="D530" i="14"/>
  <c r="O530" i="14" s="1"/>
  <c r="E529" i="14"/>
  <c r="D529" i="14"/>
  <c r="O529" i="14" s="1"/>
  <c r="E528" i="14"/>
  <c r="D528" i="14"/>
  <c r="O528" i="14" s="1"/>
  <c r="E527" i="14"/>
  <c r="D527" i="14"/>
  <c r="O527" i="14" s="1"/>
  <c r="E526" i="14"/>
  <c r="D526" i="14"/>
  <c r="O526" i="14" s="1"/>
  <c r="E525" i="14"/>
  <c r="D525" i="14"/>
  <c r="O525" i="14" s="1"/>
  <c r="E524" i="14"/>
  <c r="D524" i="14"/>
  <c r="O524" i="14" s="1"/>
  <c r="E523" i="14"/>
  <c r="D523" i="14"/>
  <c r="O523" i="14" s="1"/>
  <c r="E522" i="14"/>
  <c r="D522" i="14"/>
  <c r="O522" i="14" s="1"/>
  <c r="E521" i="14"/>
  <c r="D521" i="14"/>
  <c r="O521" i="14" s="1"/>
  <c r="E520" i="14"/>
  <c r="D520" i="14"/>
  <c r="O520" i="14" s="1"/>
  <c r="E519" i="14"/>
  <c r="D519" i="14"/>
  <c r="O519" i="14" s="1"/>
  <c r="E518" i="14"/>
  <c r="D518" i="14"/>
  <c r="O518" i="14" s="1"/>
  <c r="E517" i="14"/>
  <c r="D517" i="14"/>
  <c r="O517" i="14" s="1"/>
  <c r="E516" i="14"/>
  <c r="D516" i="14"/>
  <c r="O516" i="14" s="1"/>
  <c r="E515" i="14"/>
  <c r="D515" i="14"/>
  <c r="O515" i="14" s="1"/>
  <c r="E514" i="14"/>
  <c r="D514" i="14"/>
  <c r="O514" i="14" s="1"/>
  <c r="E513" i="14"/>
  <c r="D513" i="14"/>
  <c r="O513" i="14" s="1"/>
  <c r="E512" i="14"/>
  <c r="D512" i="14"/>
  <c r="O512" i="14" s="1"/>
  <c r="E511" i="14"/>
  <c r="D511" i="14"/>
  <c r="O511" i="14" s="1"/>
  <c r="E510" i="14"/>
  <c r="D510" i="14"/>
  <c r="O510" i="14" s="1"/>
  <c r="E509" i="14"/>
  <c r="D509" i="14"/>
  <c r="O509" i="14" s="1"/>
  <c r="E508" i="14"/>
  <c r="D508" i="14"/>
  <c r="O508" i="14" s="1"/>
  <c r="E507" i="14"/>
  <c r="D507" i="14"/>
  <c r="O507" i="14" s="1"/>
  <c r="E506" i="14"/>
  <c r="D506" i="14"/>
  <c r="O506" i="14" s="1"/>
  <c r="E505" i="14"/>
  <c r="D505" i="14"/>
  <c r="O505" i="14" s="1"/>
  <c r="E504" i="14"/>
  <c r="D504" i="14"/>
  <c r="O504" i="14" s="1"/>
  <c r="E503" i="14"/>
  <c r="D503" i="14"/>
  <c r="O503" i="14" s="1"/>
  <c r="E502" i="14"/>
  <c r="D502" i="14"/>
  <c r="O502" i="14" s="1"/>
  <c r="E501" i="14"/>
  <c r="D501" i="14"/>
  <c r="O501" i="14" s="1"/>
  <c r="E500" i="14"/>
  <c r="D500" i="14"/>
  <c r="O500" i="14" s="1"/>
  <c r="E499" i="14"/>
  <c r="D499" i="14"/>
  <c r="O499" i="14" s="1"/>
  <c r="E498" i="14"/>
  <c r="D498" i="14"/>
  <c r="O498" i="14" s="1"/>
  <c r="E497" i="14"/>
  <c r="D497" i="14"/>
  <c r="O497" i="14" s="1"/>
  <c r="E496" i="14"/>
  <c r="D496" i="14"/>
  <c r="O496" i="14" s="1"/>
  <c r="E495" i="14"/>
  <c r="D495" i="14"/>
  <c r="O495" i="14" s="1"/>
  <c r="E494" i="14"/>
  <c r="D494" i="14"/>
  <c r="O494" i="14" s="1"/>
  <c r="E493" i="14"/>
  <c r="D493" i="14"/>
  <c r="O493" i="14" s="1"/>
  <c r="E492" i="14"/>
  <c r="D492" i="14"/>
  <c r="O492" i="14" s="1"/>
  <c r="E491" i="14"/>
  <c r="D491" i="14"/>
  <c r="O491" i="14" s="1"/>
  <c r="E490" i="14"/>
  <c r="D490" i="14"/>
  <c r="O490" i="14" s="1"/>
  <c r="E489" i="14"/>
  <c r="D489" i="14"/>
  <c r="O489" i="14" s="1"/>
  <c r="E488" i="14"/>
  <c r="D488" i="14"/>
  <c r="O488" i="14" s="1"/>
  <c r="E487" i="14"/>
  <c r="D487" i="14"/>
  <c r="O487" i="14" s="1"/>
  <c r="E486" i="14"/>
  <c r="D486" i="14"/>
  <c r="O486" i="14" s="1"/>
  <c r="E485" i="14"/>
  <c r="D485" i="14"/>
  <c r="O485" i="14" s="1"/>
  <c r="E484" i="14"/>
  <c r="D484" i="14"/>
  <c r="O484" i="14" s="1"/>
  <c r="E483" i="14"/>
  <c r="D483" i="14"/>
  <c r="O483" i="14" s="1"/>
  <c r="E482" i="14"/>
  <c r="D482" i="14"/>
  <c r="O482" i="14" s="1"/>
  <c r="E481" i="14"/>
  <c r="D481" i="14"/>
  <c r="O481" i="14" s="1"/>
  <c r="E480" i="14"/>
  <c r="D480" i="14"/>
  <c r="O480" i="14" s="1"/>
  <c r="E479" i="14"/>
  <c r="D479" i="14"/>
  <c r="O479" i="14" s="1"/>
  <c r="E478" i="14"/>
  <c r="D478" i="14"/>
  <c r="O478" i="14" s="1"/>
  <c r="E477" i="14"/>
  <c r="D477" i="14"/>
  <c r="O477" i="14" s="1"/>
  <c r="E476" i="14"/>
  <c r="D476" i="14"/>
  <c r="O476" i="14" s="1"/>
  <c r="E475" i="14"/>
  <c r="D475" i="14"/>
  <c r="O475" i="14" s="1"/>
  <c r="E474" i="14"/>
  <c r="D474" i="14"/>
  <c r="O474" i="14" s="1"/>
  <c r="E473" i="14"/>
  <c r="D473" i="14"/>
  <c r="O473" i="14" s="1"/>
  <c r="E472" i="14"/>
  <c r="D472" i="14"/>
  <c r="O472" i="14" s="1"/>
  <c r="E471" i="14"/>
  <c r="D471" i="14"/>
  <c r="O471" i="14" s="1"/>
  <c r="E470" i="14"/>
  <c r="D470" i="14"/>
  <c r="O470" i="14" s="1"/>
  <c r="E469" i="14"/>
  <c r="D469" i="14"/>
  <c r="O469" i="14" s="1"/>
  <c r="E468" i="14"/>
  <c r="D468" i="14"/>
  <c r="O468" i="14" s="1"/>
  <c r="E467" i="14"/>
  <c r="D467" i="14"/>
  <c r="O467" i="14" s="1"/>
  <c r="E466" i="14"/>
  <c r="D466" i="14"/>
  <c r="O466" i="14" s="1"/>
  <c r="E465" i="14"/>
  <c r="D465" i="14"/>
  <c r="O465" i="14" s="1"/>
  <c r="E464" i="14"/>
  <c r="D464" i="14"/>
  <c r="O464" i="14" s="1"/>
  <c r="E463" i="14"/>
  <c r="D463" i="14"/>
  <c r="O463" i="14" s="1"/>
  <c r="E462" i="14"/>
  <c r="D462" i="14"/>
  <c r="O462" i="14" s="1"/>
  <c r="E461" i="14"/>
  <c r="D461" i="14"/>
  <c r="O461" i="14" s="1"/>
  <c r="E460" i="14"/>
  <c r="D460" i="14"/>
  <c r="O460" i="14" s="1"/>
  <c r="E459" i="14"/>
  <c r="D459" i="14"/>
  <c r="O459" i="14" s="1"/>
  <c r="E458" i="14"/>
  <c r="D458" i="14"/>
  <c r="O458" i="14" s="1"/>
  <c r="E457" i="14"/>
  <c r="D457" i="14"/>
  <c r="O457" i="14" s="1"/>
  <c r="E456" i="14"/>
  <c r="D456" i="14"/>
  <c r="O456" i="14" s="1"/>
  <c r="E455" i="14"/>
  <c r="D455" i="14"/>
  <c r="O455" i="14" s="1"/>
  <c r="E454" i="14"/>
  <c r="D454" i="14"/>
  <c r="O454" i="14" s="1"/>
  <c r="E453" i="14"/>
  <c r="D453" i="14"/>
  <c r="O453" i="14" s="1"/>
  <c r="E452" i="14"/>
  <c r="D452" i="14"/>
  <c r="O452" i="14" s="1"/>
  <c r="E451" i="14"/>
  <c r="D451" i="14"/>
  <c r="O451" i="14" s="1"/>
  <c r="E450" i="14"/>
  <c r="D450" i="14"/>
  <c r="O450" i="14" s="1"/>
  <c r="E449" i="14"/>
  <c r="D449" i="14"/>
  <c r="O449" i="14" s="1"/>
  <c r="E448" i="14"/>
  <c r="D448" i="14"/>
  <c r="O448" i="14" s="1"/>
  <c r="E447" i="14"/>
  <c r="D447" i="14"/>
  <c r="O447" i="14" s="1"/>
  <c r="E446" i="14"/>
  <c r="D446" i="14"/>
  <c r="O446" i="14" s="1"/>
  <c r="E445" i="14"/>
  <c r="D445" i="14"/>
  <c r="O445" i="14" s="1"/>
  <c r="E444" i="14"/>
  <c r="D444" i="14"/>
  <c r="O444" i="14" s="1"/>
  <c r="E443" i="14"/>
  <c r="D443" i="14"/>
  <c r="O443" i="14" s="1"/>
  <c r="E442" i="14"/>
  <c r="D442" i="14"/>
  <c r="O442" i="14" s="1"/>
  <c r="E441" i="14"/>
  <c r="D441" i="14"/>
  <c r="O441" i="14" s="1"/>
  <c r="E440" i="14"/>
  <c r="D440" i="14"/>
  <c r="O440" i="14" s="1"/>
  <c r="E439" i="14"/>
  <c r="D439" i="14"/>
  <c r="O439" i="14" s="1"/>
  <c r="E438" i="14"/>
  <c r="D438" i="14"/>
  <c r="O438" i="14" s="1"/>
  <c r="E437" i="14"/>
  <c r="D437" i="14"/>
  <c r="O437" i="14" s="1"/>
  <c r="E436" i="14"/>
  <c r="D436" i="14"/>
  <c r="O436" i="14" s="1"/>
  <c r="E435" i="14"/>
  <c r="D435" i="14"/>
  <c r="O435" i="14" s="1"/>
  <c r="E434" i="14"/>
  <c r="D434" i="14"/>
  <c r="O434" i="14" s="1"/>
  <c r="E433" i="14"/>
  <c r="D433" i="14"/>
  <c r="O433" i="14" s="1"/>
  <c r="E432" i="14"/>
  <c r="D432" i="14"/>
  <c r="O432" i="14" s="1"/>
  <c r="E431" i="14"/>
  <c r="D431" i="14"/>
  <c r="O431" i="14" s="1"/>
  <c r="E430" i="14"/>
  <c r="D430" i="14"/>
  <c r="O430" i="14" s="1"/>
  <c r="E429" i="14"/>
  <c r="D429" i="14"/>
  <c r="O429" i="14" s="1"/>
  <c r="E428" i="14"/>
  <c r="D428" i="14"/>
  <c r="O428" i="14" s="1"/>
  <c r="E427" i="14"/>
  <c r="D427" i="14"/>
  <c r="O427" i="14" s="1"/>
  <c r="E426" i="14"/>
  <c r="D426" i="14"/>
  <c r="O426" i="14" s="1"/>
  <c r="E425" i="14"/>
  <c r="D425" i="14"/>
  <c r="O425" i="14" s="1"/>
  <c r="E424" i="14"/>
  <c r="D424" i="14"/>
  <c r="O424" i="14" s="1"/>
  <c r="E423" i="14"/>
  <c r="D423" i="14"/>
  <c r="O423" i="14" s="1"/>
  <c r="E422" i="14"/>
  <c r="D422" i="14"/>
  <c r="O422" i="14" s="1"/>
  <c r="E421" i="14"/>
  <c r="D421" i="14"/>
  <c r="O421" i="14" s="1"/>
  <c r="E420" i="14"/>
  <c r="D420" i="14"/>
  <c r="O420" i="14" s="1"/>
  <c r="E419" i="14"/>
  <c r="D419" i="14"/>
  <c r="O419" i="14" s="1"/>
  <c r="E418" i="14"/>
  <c r="D418" i="14"/>
  <c r="O418" i="14" s="1"/>
  <c r="E417" i="14"/>
  <c r="D417" i="14"/>
  <c r="O417" i="14" s="1"/>
  <c r="E416" i="14"/>
  <c r="D416" i="14"/>
  <c r="O416" i="14" s="1"/>
  <c r="E415" i="14"/>
  <c r="D415" i="14"/>
  <c r="O415" i="14" s="1"/>
  <c r="E414" i="14"/>
  <c r="D414" i="14"/>
  <c r="O414" i="14" s="1"/>
  <c r="E413" i="14"/>
  <c r="D413" i="14"/>
  <c r="O413" i="14" s="1"/>
  <c r="E412" i="14"/>
  <c r="D412" i="14"/>
  <c r="O412" i="14" s="1"/>
  <c r="E411" i="14"/>
  <c r="D411" i="14"/>
  <c r="O411" i="14" s="1"/>
  <c r="E410" i="14"/>
  <c r="D410" i="14"/>
  <c r="O410" i="14" s="1"/>
  <c r="E409" i="14"/>
  <c r="D409" i="14"/>
  <c r="O409" i="14" s="1"/>
  <c r="E408" i="14"/>
  <c r="D408" i="14"/>
  <c r="O408" i="14" s="1"/>
  <c r="E407" i="14"/>
  <c r="D407" i="14"/>
  <c r="O407" i="14" s="1"/>
  <c r="F306" i="14"/>
  <c r="E306" i="14"/>
  <c r="D306" i="14"/>
  <c r="O306" i="14" s="1"/>
  <c r="F305" i="14"/>
  <c r="E305" i="14"/>
  <c r="D305" i="14"/>
  <c r="O305" i="14" s="1"/>
  <c r="F304" i="14"/>
  <c r="E304" i="14"/>
  <c r="D304" i="14"/>
  <c r="O304" i="14" s="1"/>
  <c r="F303" i="14"/>
  <c r="E303" i="14"/>
  <c r="D303" i="14"/>
  <c r="O303" i="14" s="1"/>
  <c r="F302" i="14"/>
  <c r="E302" i="14"/>
  <c r="D302" i="14"/>
  <c r="O302" i="14" s="1"/>
  <c r="F301" i="14"/>
  <c r="E301" i="14"/>
  <c r="D301" i="14"/>
  <c r="O301" i="14" s="1"/>
  <c r="F300" i="14"/>
  <c r="E300" i="14"/>
  <c r="D300" i="14"/>
  <c r="O300" i="14" s="1"/>
  <c r="F299" i="14"/>
  <c r="E299" i="14"/>
  <c r="D299" i="14"/>
  <c r="O299" i="14" s="1"/>
  <c r="F298" i="14"/>
  <c r="E298" i="14"/>
  <c r="D298" i="14"/>
  <c r="O298" i="14" s="1"/>
  <c r="F297" i="14"/>
  <c r="E297" i="14"/>
  <c r="D297" i="14"/>
  <c r="O297" i="14" s="1"/>
  <c r="F296" i="14"/>
  <c r="E296" i="14"/>
  <c r="D296" i="14"/>
  <c r="O296" i="14" s="1"/>
  <c r="F295" i="14"/>
  <c r="E295" i="14"/>
  <c r="D295" i="14"/>
  <c r="O295" i="14" s="1"/>
  <c r="F294" i="14"/>
  <c r="E294" i="14"/>
  <c r="D294" i="14"/>
  <c r="O294" i="14" s="1"/>
  <c r="F293" i="14"/>
  <c r="E293" i="14"/>
  <c r="D293" i="14"/>
  <c r="O293" i="14" s="1"/>
  <c r="F292" i="14"/>
  <c r="E292" i="14"/>
  <c r="D292" i="14"/>
  <c r="O292" i="14" s="1"/>
  <c r="F291" i="14"/>
  <c r="E291" i="14"/>
  <c r="D291" i="14"/>
  <c r="O291" i="14" s="1"/>
  <c r="F290" i="14"/>
  <c r="E290" i="14"/>
  <c r="D290" i="14"/>
  <c r="O290" i="14" s="1"/>
  <c r="F289" i="14"/>
  <c r="E289" i="14"/>
  <c r="D289" i="14"/>
  <c r="O289" i="14" s="1"/>
  <c r="F288" i="14"/>
  <c r="E288" i="14"/>
  <c r="D288" i="14"/>
  <c r="O288" i="14" s="1"/>
  <c r="F287" i="14"/>
  <c r="E287" i="14"/>
  <c r="D287" i="14"/>
  <c r="O287" i="14" s="1"/>
  <c r="F286" i="14"/>
  <c r="E286" i="14"/>
  <c r="D286" i="14"/>
  <c r="O286" i="14" s="1"/>
  <c r="F285" i="14"/>
  <c r="E285" i="14"/>
  <c r="D285" i="14"/>
  <c r="O285" i="14" s="1"/>
  <c r="F284" i="14"/>
  <c r="E284" i="14"/>
  <c r="D284" i="14"/>
  <c r="O284" i="14" s="1"/>
  <c r="F283" i="14"/>
  <c r="E283" i="14"/>
  <c r="D283" i="14"/>
  <c r="O283" i="14" s="1"/>
  <c r="F282" i="14"/>
  <c r="E282" i="14"/>
  <c r="D282" i="14"/>
  <c r="O282" i="14" s="1"/>
  <c r="F281" i="14"/>
  <c r="E281" i="14"/>
  <c r="D281" i="14"/>
  <c r="O281" i="14" s="1"/>
  <c r="F280" i="14"/>
  <c r="E280" i="14"/>
  <c r="D280" i="14"/>
  <c r="O280" i="14" s="1"/>
  <c r="F279" i="14"/>
  <c r="E279" i="14"/>
  <c r="D279" i="14"/>
  <c r="O279" i="14" s="1"/>
  <c r="F278" i="14"/>
  <c r="E278" i="14"/>
  <c r="D278" i="14"/>
  <c r="O278" i="14" s="1"/>
  <c r="F277" i="14"/>
  <c r="E277" i="14"/>
  <c r="D277" i="14"/>
  <c r="O277" i="14" s="1"/>
  <c r="F276" i="14"/>
  <c r="E276" i="14"/>
  <c r="D276" i="14"/>
  <c r="O276" i="14" s="1"/>
  <c r="F275" i="14"/>
  <c r="E275" i="14"/>
  <c r="D275" i="14"/>
  <c r="O275" i="14" s="1"/>
  <c r="F274" i="14"/>
  <c r="E274" i="14"/>
  <c r="D274" i="14"/>
  <c r="O274" i="14" s="1"/>
  <c r="F273" i="14"/>
  <c r="E273" i="14"/>
  <c r="D273" i="14"/>
  <c r="O273" i="14" s="1"/>
  <c r="F272" i="14"/>
  <c r="E272" i="14"/>
  <c r="D272" i="14"/>
  <c r="O272" i="14" s="1"/>
  <c r="F271" i="14"/>
  <c r="E271" i="14"/>
  <c r="D271" i="14"/>
  <c r="O271" i="14" s="1"/>
  <c r="F270" i="14"/>
  <c r="E270" i="14"/>
  <c r="D270" i="14"/>
  <c r="O270" i="14" s="1"/>
  <c r="F269" i="14"/>
  <c r="E269" i="14"/>
  <c r="D269" i="14"/>
  <c r="O269" i="14" s="1"/>
  <c r="F268" i="14"/>
  <c r="E268" i="14"/>
  <c r="D268" i="14"/>
  <c r="O268" i="14" s="1"/>
  <c r="P11" i="14" s="1"/>
  <c r="AA670" i="14" s="1"/>
  <c r="F267" i="14"/>
  <c r="E267" i="14"/>
  <c r="D267" i="14"/>
  <c r="O267" i="14" s="1"/>
  <c r="F266" i="14"/>
  <c r="E266" i="14"/>
  <c r="D266" i="14"/>
  <c r="O266" i="14" s="1"/>
  <c r="F265" i="14"/>
  <c r="E265" i="14"/>
  <c r="D265" i="14"/>
  <c r="O265" i="14" s="1"/>
  <c r="F264" i="14"/>
  <c r="E264" i="14"/>
  <c r="D264" i="14"/>
  <c r="O264" i="14" s="1"/>
  <c r="F263" i="14"/>
  <c r="E263" i="14"/>
  <c r="D263" i="14"/>
  <c r="O263" i="14" s="1"/>
  <c r="F262" i="14"/>
  <c r="E262" i="14"/>
  <c r="D262" i="14"/>
  <c r="O262" i="14" s="1"/>
  <c r="F261" i="14"/>
  <c r="E261" i="14"/>
  <c r="D261" i="14"/>
  <c r="O261" i="14" s="1"/>
  <c r="F260" i="14"/>
  <c r="E260" i="14"/>
  <c r="D260" i="14"/>
  <c r="O260" i="14" s="1"/>
  <c r="F259" i="14"/>
  <c r="E259" i="14"/>
  <c r="D259" i="14"/>
  <c r="O259" i="14" s="1"/>
  <c r="F258" i="14"/>
  <c r="E258" i="14"/>
  <c r="D258" i="14"/>
  <c r="O258" i="14" s="1"/>
  <c r="F257" i="14"/>
  <c r="E257" i="14"/>
  <c r="D257" i="14"/>
  <c r="O257" i="14" s="1"/>
  <c r="F256" i="14"/>
  <c r="E256" i="14"/>
  <c r="D256" i="14"/>
  <c r="O256" i="14" s="1"/>
  <c r="F255" i="14"/>
  <c r="E255" i="14"/>
  <c r="D255" i="14"/>
  <c r="O255" i="14" s="1"/>
  <c r="F254" i="14"/>
  <c r="E254" i="14"/>
  <c r="D254" i="14"/>
  <c r="O254" i="14" s="1"/>
  <c r="F253" i="14"/>
  <c r="E253" i="14"/>
  <c r="D253" i="14"/>
  <c r="O253" i="14" s="1"/>
  <c r="F252" i="14"/>
  <c r="E252" i="14"/>
  <c r="D252" i="14"/>
  <c r="O252" i="14" s="1"/>
  <c r="F251" i="14"/>
  <c r="E251" i="14"/>
  <c r="D251" i="14"/>
  <c r="O251" i="14" s="1"/>
  <c r="F250" i="14"/>
  <c r="E250" i="14"/>
  <c r="D250" i="14"/>
  <c r="O250" i="14" s="1"/>
  <c r="F249" i="14"/>
  <c r="E249" i="14"/>
  <c r="D249" i="14"/>
  <c r="O249" i="14" s="1"/>
  <c r="F248" i="14"/>
  <c r="E248" i="14"/>
  <c r="D248" i="14"/>
  <c r="O248" i="14" s="1"/>
  <c r="F247" i="14"/>
  <c r="E247" i="14"/>
  <c r="D247" i="14"/>
  <c r="O247" i="14" s="1"/>
  <c r="F246" i="14"/>
  <c r="E246" i="14"/>
  <c r="D246" i="14"/>
  <c r="O246" i="14" s="1"/>
  <c r="F245" i="14"/>
  <c r="E245" i="14"/>
  <c r="D245" i="14"/>
  <c r="O245" i="14" s="1"/>
  <c r="F244" i="14"/>
  <c r="E244" i="14"/>
  <c r="D244" i="14"/>
  <c r="O244" i="14" s="1"/>
  <c r="F243" i="14"/>
  <c r="E243" i="14"/>
  <c r="D243" i="14"/>
  <c r="O243" i="14" s="1"/>
  <c r="F242" i="14"/>
  <c r="E242" i="14"/>
  <c r="D242" i="14"/>
  <c r="O242" i="14" s="1"/>
  <c r="F241" i="14"/>
  <c r="E241" i="14"/>
  <c r="D241" i="14"/>
  <c r="O241" i="14" s="1"/>
  <c r="F240" i="14"/>
  <c r="E240" i="14"/>
  <c r="D240" i="14"/>
  <c r="O240" i="14" s="1"/>
  <c r="F239" i="14"/>
  <c r="E239" i="14"/>
  <c r="D239" i="14"/>
  <c r="O239" i="14" s="1"/>
  <c r="F238" i="14"/>
  <c r="E238" i="14"/>
  <c r="D238" i="14"/>
  <c r="O238" i="14" s="1"/>
  <c r="F237" i="14"/>
  <c r="E237" i="14"/>
  <c r="D237" i="14"/>
  <c r="O237" i="14" s="1"/>
  <c r="F236" i="14"/>
  <c r="E236" i="14"/>
  <c r="D236" i="14"/>
  <c r="O236" i="14" s="1"/>
  <c r="F235" i="14"/>
  <c r="E235" i="14"/>
  <c r="D235" i="14"/>
  <c r="O235" i="14" s="1"/>
  <c r="F234" i="14"/>
  <c r="E234" i="14"/>
  <c r="D234" i="14"/>
  <c r="O234" i="14" s="1"/>
  <c r="F233" i="14"/>
  <c r="E233" i="14"/>
  <c r="D233" i="14"/>
  <c r="O233" i="14" s="1"/>
  <c r="F232" i="14"/>
  <c r="E232" i="14"/>
  <c r="D232" i="14"/>
  <c r="O232" i="14" s="1"/>
  <c r="F231" i="14"/>
  <c r="E231" i="14"/>
  <c r="D231" i="14"/>
  <c r="O231" i="14" s="1"/>
  <c r="F230" i="14"/>
  <c r="E230" i="14"/>
  <c r="D230" i="14"/>
  <c r="O230" i="14" s="1"/>
  <c r="F229" i="14"/>
  <c r="E229" i="14"/>
  <c r="D229" i="14"/>
  <c r="O229" i="14" s="1"/>
  <c r="F228" i="14"/>
  <c r="E228" i="14"/>
  <c r="D228" i="14"/>
  <c r="O228" i="14" s="1"/>
  <c r="F227" i="14"/>
  <c r="E227" i="14"/>
  <c r="D227" i="14"/>
  <c r="O227" i="14" s="1"/>
  <c r="F226" i="14"/>
  <c r="E226" i="14"/>
  <c r="D226" i="14"/>
  <c r="O226" i="14" s="1"/>
  <c r="F225" i="14"/>
  <c r="E225" i="14"/>
  <c r="D225" i="14"/>
  <c r="O225" i="14" s="1"/>
  <c r="F224" i="14"/>
  <c r="E224" i="14"/>
  <c r="D224" i="14"/>
  <c r="O224" i="14" s="1"/>
  <c r="F223" i="14"/>
  <c r="E223" i="14"/>
  <c r="D223" i="14"/>
  <c r="O223" i="14" s="1"/>
  <c r="F222" i="14"/>
  <c r="E222" i="14"/>
  <c r="D222" i="14"/>
  <c r="O222" i="14" s="1"/>
  <c r="F221" i="14"/>
  <c r="E221" i="14"/>
  <c r="D221" i="14"/>
  <c r="O221" i="14" s="1"/>
  <c r="F220" i="14"/>
  <c r="E220" i="14"/>
  <c r="D220" i="14"/>
  <c r="O220" i="14" s="1"/>
  <c r="F219" i="14"/>
  <c r="E219" i="14"/>
  <c r="D219" i="14"/>
  <c r="O219" i="14" s="1"/>
  <c r="F218" i="14"/>
  <c r="E218" i="14"/>
  <c r="D218" i="14"/>
  <c r="O218" i="14" s="1"/>
  <c r="F217" i="14"/>
  <c r="E217" i="14"/>
  <c r="D217" i="14"/>
  <c r="O217" i="14" s="1"/>
  <c r="F216" i="14"/>
  <c r="E216" i="14"/>
  <c r="D216" i="14"/>
  <c r="O216" i="14" s="1"/>
  <c r="F215" i="14"/>
  <c r="E215" i="14"/>
  <c r="D215" i="14"/>
  <c r="O215" i="14" s="1"/>
  <c r="F214" i="14"/>
  <c r="E214" i="14"/>
  <c r="D214" i="14"/>
  <c r="O214" i="14" s="1"/>
  <c r="F213" i="14"/>
  <c r="E213" i="14"/>
  <c r="D213" i="14"/>
  <c r="O213" i="14" s="1"/>
  <c r="F212" i="14"/>
  <c r="E212" i="14"/>
  <c r="D212" i="14"/>
  <c r="O212" i="14" s="1"/>
  <c r="F211" i="14"/>
  <c r="E211" i="14"/>
  <c r="D211" i="14"/>
  <c r="O211" i="14" s="1"/>
  <c r="F210" i="14"/>
  <c r="E210" i="14"/>
  <c r="D210" i="14"/>
  <c r="O210" i="14" s="1"/>
  <c r="F209" i="14"/>
  <c r="E209" i="14"/>
  <c r="D209" i="14"/>
  <c r="O209" i="14" s="1"/>
  <c r="F208" i="14"/>
  <c r="E208" i="14"/>
  <c r="D208" i="14"/>
  <c r="O208" i="14" s="1"/>
  <c r="F207" i="14"/>
  <c r="E207" i="14"/>
  <c r="D207" i="14"/>
  <c r="O207" i="14" s="1"/>
  <c r="E356" i="14"/>
  <c r="D356" i="14"/>
  <c r="O356" i="14" s="1"/>
  <c r="E355" i="14"/>
  <c r="D355" i="14"/>
  <c r="O355" i="14" s="1"/>
  <c r="E354" i="14"/>
  <c r="D354" i="14"/>
  <c r="O354" i="14" s="1"/>
  <c r="E353" i="14"/>
  <c r="D353" i="14"/>
  <c r="O353" i="14" s="1"/>
  <c r="E352" i="14"/>
  <c r="D352" i="14"/>
  <c r="O352" i="14" s="1"/>
  <c r="E351" i="14"/>
  <c r="D351" i="14"/>
  <c r="O351" i="14" s="1"/>
  <c r="E350" i="14"/>
  <c r="D350" i="14"/>
  <c r="O350" i="14" s="1"/>
  <c r="E349" i="14"/>
  <c r="D349" i="14"/>
  <c r="O349" i="14" s="1"/>
  <c r="E348" i="14"/>
  <c r="D348" i="14"/>
  <c r="O348" i="14" s="1"/>
  <c r="E347" i="14"/>
  <c r="D347" i="14"/>
  <c r="O347" i="14" s="1"/>
  <c r="E346" i="14"/>
  <c r="D346" i="14"/>
  <c r="O346" i="14" s="1"/>
  <c r="E345" i="14"/>
  <c r="D345" i="14"/>
  <c r="O345" i="14" s="1"/>
  <c r="E344" i="14"/>
  <c r="D344" i="14"/>
  <c r="O344" i="14" s="1"/>
  <c r="E343" i="14"/>
  <c r="D343" i="14"/>
  <c r="O343" i="14" s="1"/>
  <c r="E342" i="14"/>
  <c r="D342" i="14"/>
  <c r="O342" i="14" s="1"/>
  <c r="E341" i="14"/>
  <c r="D341" i="14"/>
  <c r="O341" i="14" s="1"/>
  <c r="E340" i="14"/>
  <c r="D340" i="14"/>
  <c r="O340" i="14" s="1"/>
  <c r="E339" i="14"/>
  <c r="D339" i="14"/>
  <c r="O339" i="14" s="1"/>
  <c r="E338" i="14"/>
  <c r="D338" i="14"/>
  <c r="O338" i="14" s="1"/>
  <c r="E337" i="14"/>
  <c r="D337" i="14"/>
  <c r="O337" i="14" s="1"/>
  <c r="E336" i="14"/>
  <c r="D336" i="14"/>
  <c r="O336" i="14" s="1"/>
  <c r="E335" i="14"/>
  <c r="D335" i="14"/>
  <c r="O335" i="14" s="1"/>
  <c r="E334" i="14"/>
  <c r="D334" i="14"/>
  <c r="O334" i="14" s="1"/>
  <c r="E333" i="14"/>
  <c r="D333" i="14"/>
  <c r="O333" i="14" s="1"/>
  <c r="E332" i="14"/>
  <c r="D332" i="14"/>
  <c r="O332" i="14" s="1"/>
  <c r="E331" i="14"/>
  <c r="D331" i="14"/>
  <c r="O331" i="14" s="1"/>
  <c r="E330" i="14"/>
  <c r="D330" i="14"/>
  <c r="O330" i="14" s="1"/>
  <c r="E329" i="14"/>
  <c r="D329" i="14"/>
  <c r="O329" i="14" s="1"/>
  <c r="E328" i="14"/>
  <c r="D328" i="14"/>
  <c r="O328" i="14" s="1"/>
  <c r="E327" i="14"/>
  <c r="D327" i="14"/>
  <c r="O327" i="14" s="1"/>
  <c r="E326" i="14"/>
  <c r="D326" i="14"/>
  <c r="O326" i="14" s="1"/>
  <c r="E325" i="14"/>
  <c r="D325" i="14"/>
  <c r="O325" i="14" s="1"/>
  <c r="E324" i="14"/>
  <c r="D324" i="14"/>
  <c r="O324" i="14" s="1"/>
  <c r="E323" i="14"/>
  <c r="D323" i="14"/>
  <c r="O323" i="14" s="1"/>
  <c r="E322" i="14"/>
  <c r="D322" i="14"/>
  <c r="O322" i="14" s="1"/>
  <c r="E321" i="14"/>
  <c r="D321" i="14"/>
  <c r="O321" i="14" s="1"/>
  <c r="E320" i="14"/>
  <c r="D320" i="14"/>
  <c r="O320" i="14" s="1"/>
  <c r="E319" i="14"/>
  <c r="D319" i="14"/>
  <c r="O319" i="14" s="1"/>
  <c r="E318" i="14"/>
  <c r="D318" i="14"/>
  <c r="O318" i="14" s="1"/>
  <c r="E317" i="14"/>
  <c r="D317" i="14"/>
  <c r="O317" i="14" s="1"/>
  <c r="E316" i="14"/>
  <c r="D316" i="14"/>
  <c r="O316" i="14" s="1"/>
  <c r="E315" i="14"/>
  <c r="D315" i="14"/>
  <c r="O315" i="14" s="1"/>
  <c r="E314" i="14"/>
  <c r="D314" i="14"/>
  <c r="O314" i="14" s="1"/>
  <c r="E313" i="14"/>
  <c r="D313" i="14"/>
  <c r="O313" i="14" s="1"/>
  <c r="E312" i="14"/>
  <c r="D312" i="14"/>
  <c r="O312" i="14" s="1"/>
  <c r="E311" i="14"/>
  <c r="D311" i="14"/>
  <c r="O311" i="14" s="1"/>
  <c r="E310" i="14"/>
  <c r="D310" i="14"/>
  <c r="O310" i="14" s="1"/>
  <c r="E309" i="14"/>
  <c r="D309" i="14"/>
  <c r="O309" i="14" s="1"/>
  <c r="E308" i="14"/>
  <c r="D308" i="14"/>
  <c r="O308" i="14" s="1"/>
  <c r="E307" i="14"/>
  <c r="D307" i="14"/>
  <c r="O307" i="14" s="1"/>
  <c r="D357" i="14"/>
  <c r="O357" i="14" s="1"/>
  <c r="E357" i="14"/>
  <c r="D358" i="14"/>
  <c r="O358" i="14" s="1"/>
  <c r="E358" i="14"/>
  <c r="D359" i="14"/>
  <c r="O359" i="14" s="1"/>
  <c r="E359" i="14"/>
  <c r="D360" i="14"/>
  <c r="O360" i="14" s="1"/>
  <c r="E360" i="14"/>
  <c r="D361" i="14"/>
  <c r="O361" i="14" s="1"/>
  <c r="E361" i="14"/>
  <c r="D362" i="14"/>
  <c r="O362" i="14" s="1"/>
  <c r="E362" i="14"/>
  <c r="D363" i="14"/>
  <c r="O363" i="14" s="1"/>
  <c r="E363" i="14"/>
  <c r="D364" i="14"/>
  <c r="O364" i="14" s="1"/>
  <c r="E364" i="14"/>
  <c r="D365" i="14"/>
  <c r="O365" i="14" s="1"/>
  <c r="E365" i="14"/>
  <c r="D366" i="14"/>
  <c r="O366" i="14" s="1"/>
  <c r="E366" i="14"/>
  <c r="D367" i="14"/>
  <c r="O367" i="14" s="1"/>
  <c r="E367" i="14"/>
  <c r="D368" i="14"/>
  <c r="O368" i="14" s="1"/>
  <c r="E368" i="14"/>
  <c r="D369" i="14"/>
  <c r="O369" i="14" s="1"/>
  <c r="E369" i="14"/>
  <c r="D370" i="14"/>
  <c r="O370" i="14" s="1"/>
  <c r="E370" i="14"/>
  <c r="D371" i="14"/>
  <c r="O371" i="14" s="1"/>
  <c r="E371" i="14"/>
  <c r="D372" i="14"/>
  <c r="O372" i="14" s="1"/>
  <c r="E372" i="14"/>
  <c r="D373" i="14"/>
  <c r="O373" i="14" s="1"/>
  <c r="E373" i="14"/>
  <c r="D374" i="14"/>
  <c r="O374" i="14" s="1"/>
  <c r="E374" i="14"/>
  <c r="D375" i="14"/>
  <c r="O375" i="14" s="1"/>
  <c r="E375" i="14"/>
  <c r="D376" i="14"/>
  <c r="O376" i="14" s="1"/>
  <c r="E376" i="14"/>
  <c r="D377" i="14"/>
  <c r="O377" i="14" s="1"/>
  <c r="E377" i="14"/>
  <c r="D378" i="14"/>
  <c r="O378" i="14" s="1"/>
  <c r="E378" i="14"/>
  <c r="D379" i="14"/>
  <c r="O379" i="14" s="1"/>
  <c r="E379" i="14"/>
  <c r="D380" i="14"/>
  <c r="O380" i="14" s="1"/>
  <c r="E380" i="14"/>
  <c r="D381" i="14"/>
  <c r="O381" i="14" s="1"/>
  <c r="E381" i="14"/>
  <c r="D382" i="14"/>
  <c r="O382" i="14" s="1"/>
  <c r="E382" i="14"/>
  <c r="D383" i="14"/>
  <c r="O383" i="14" s="1"/>
  <c r="E383" i="14"/>
  <c r="D384" i="14"/>
  <c r="O384" i="14" s="1"/>
  <c r="E384" i="14"/>
  <c r="D385" i="14"/>
  <c r="O385" i="14" s="1"/>
  <c r="E385" i="14"/>
  <c r="D386" i="14"/>
  <c r="O386" i="14" s="1"/>
  <c r="E386" i="14"/>
  <c r="D387" i="14"/>
  <c r="O387" i="14" s="1"/>
  <c r="E387" i="14"/>
  <c r="D388" i="14"/>
  <c r="O388" i="14" s="1"/>
  <c r="E388" i="14"/>
  <c r="D389" i="14"/>
  <c r="O389" i="14" s="1"/>
  <c r="E389" i="14"/>
  <c r="D390" i="14"/>
  <c r="O390" i="14" s="1"/>
  <c r="E390" i="14"/>
  <c r="D391" i="14"/>
  <c r="O391" i="14" s="1"/>
  <c r="E391" i="14"/>
  <c r="D392" i="14"/>
  <c r="O392" i="14" s="1"/>
  <c r="E392" i="14"/>
  <c r="D393" i="14"/>
  <c r="O393" i="14" s="1"/>
  <c r="E393" i="14"/>
  <c r="D394" i="14"/>
  <c r="O394" i="14" s="1"/>
  <c r="E394" i="14"/>
  <c r="D395" i="14"/>
  <c r="O395" i="14" s="1"/>
  <c r="E395" i="14"/>
  <c r="D396" i="14"/>
  <c r="O396" i="14" s="1"/>
  <c r="E396" i="14"/>
  <c r="D397" i="14"/>
  <c r="O397" i="14" s="1"/>
  <c r="E397" i="14"/>
  <c r="D398" i="14"/>
  <c r="O398" i="14" s="1"/>
  <c r="E398" i="14"/>
  <c r="D399" i="14"/>
  <c r="O399" i="14" s="1"/>
  <c r="E399" i="14"/>
  <c r="D400" i="14"/>
  <c r="O400" i="14" s="1"/>
  <c r="E400" i="14"/>
  <c r="D401" i="14"/>
  <c r="O401" i="14" s="1"/>
  <c r="E401" i="14"/>
  <c r="D402" i="14"/>
  <c r="O402" i="14" s="1"/>
  <c r="E402" i="14"/>
  <c r="D403" i="14"/>
  <c r="O403" i="14" s="1"/>
  <c r="E403" i="14"/>
  <c r="D404" i="14"/>
  <c r="O404" i="14" s="1"/>
  <c r="E404" i="14"/>
  <c r="D405" i="14"/>
  <c r="O405" i="14" s="1"/>
  <c r="E405" i="14"/>
  <c r="D406" i="14"/>
  <c r="O406" i="14" s="1"/>
  <c r="E406" i="14"/>
  <c r="G135" i="14"/>
  <c r="G134" i="14"/>
  <c r="G133" i="14"/>
  <c r="G132" i="14"/>
  <c r="G130" i="14"/>
  <c r="G129" i="14"/>
  <c r="G128" i="14"/>
  <c r="G127" i="14"/>
  <c r="G125" i="14"/>
  <c r="G124" i="14"/>
  <c r="G123" i="14"/>
  <c r="G122" i="14"/>
  <c r="G135" i="7"/>
  <c r="G134" i="7"/>
  <c r="G133" i="7"/>
  <c r="G132" i="7"/>
  <c r="G130" i="7"/>
  <c r="G129" i="7"/>
  <c r="G128" i="7"/>
  <c r="G127" i="7"/>
  <c r="G125" i="7"/>
  <c r="G124" i="7"/>
  <c r="G123" i="7"/>
  <c r="G122" i="7"/>
  <c r="Z122" i="7"/>
  <c r="Z123" i="7"/>
  <c r="Z124" i="7"/>
  <c r="Z125" i="7"/>
  <c r="Z127" i="7"/>
  <c r="Z128" i="7"/>
  <c r="Z129" i="7"/>
  <c r="Z130" i="7"/>
  <c r="Z132" i="7"/>
  <c r="Z133" i="7"/>
  <c r="Z134" i="7"/>
  <c r="Z135" i="7"/>
  <c r="G607" i="14"/>
  <c r="F607" i="14"/>
  <c r="E607" i="14"/>
  <c r="D607" i="14"/>
  <c r="O607" i="14" s="1"/>
  <c r="G203" i="14" l="1"/>
  <c r="G203" i="7" l="1"/>
  <c r="M24" i="4" l="1"/>
  <c r="C39" i="4"/>
  <c r="G206" i="14" l="1"/>
  <c r="F206" i="14"/>
  <c r="E206" i="14"/>
  <c r="D206" i="14"/>
  <c r="O206" i="14" s="1"/>
  <c r="D205" i="14"/>
  <c r="O205" i="14" s="1"/>
  <c r="E204" i="14"/>
  <c r="D204" i="14"/>
  <c r="O204" i="14" s="1"/>
  <c r="O203" i="14"/>
  <c r="E203" i="14"/>
  <c r="G202" i="14"/>
  <c r="F202" i="14"/>
  <c r="E202" i="14"/>
  <c r="D202" i="14"/>
  <c r="O202" i="14" s="1"/>
  <c r="F201" i="14"/>
  <c r="E201" i="14"/>
  <c r="D201" i="14"/>
  <c r="O201" i="14" s="1"/>
  <c r="F200" i="14"/>
  <c r="E200" i="14"/>
  <c r="D200" i="14"/>
  <c r="O200" i="14" s="1"/>
  <c r="G199" i="14"/>
  <c r="F199" i="14"/>
  <c r="E199" i="14"/>
  <c r="D199" i="14"/>
  <c r="O199" i="14" s="1"/>
  <c r="F196" i="14"/>
  <c r="E196" i="14"/>
  <c r="D196" i="14"/>
  <c r="O196" i="14" s="1"/>
  <c r="G195" i="14"/>
  <c r="F195" i="14"/>
  <c r="D195" i="14"/>
  <c r="O195" i="14" s="1"/>
  <c r="G194" i="14"/>
  <c r="F194" i="14"/>
  <c r="E194" i="14"/>
  <c r="D194" i="14"/>
  <c r="O194" i="14" s="1"/>
  <c r="F193" i="14"/>
  <c r="E193" i="14"/>
  <c r="D193" i="14"/>
  <c r="O193" i="14" s="1"/>
  <c r="F192" i="14"/>
  <c r="E192" i="14"/>
  <c r="D192" i="14"/>
  <c r="O192" i="14" s="1"/>
  <c r="F191" i="14"/>
  <c r="E191" i="14"/>
  <c r="D191" i="14"/>
  <c r="O191" i="14" s="1"/>
  <c r="F190" i="14"/>
  <c r="E190" i="14"/>
  <c r="D190" i="14"/>
  <c r="O190" i="14" s="1"/>
  <c r="F189" i="14"/>
  <c r="E189" i="14"/>
  <c r="D189" i="14"/>
  <c r="O189" i="14" s="1"/>
  <c r="F188" i="14"/>
  <c r="E188" i="14"/>
  <c r="D188" i="14"/>
  <c r="O188" i="14" s="1"/>
  <c r="F187" i="14"/>
  <c r="E187" i="14"/>
  <c r="D187" i="14"/>
  <c r="O187" i="14" s="1"/>
  <c r="F186" i="14"/>
  <c r="E186" i="14"/>
  <c r="D186" i="14"/>
  <c r="O186" i="14" s="1"/>
  <c r="F185" i="14"/>
  <c r="E185" i="14"/>
  <c r="D185" i="14"/>
  <c r="O185" i="14" s="1"/>
  <c r="F184" i="14"/>
  <c r="E184" i="14"/>
  <c r="D184" i="14"/>
  <c r="O184" i="14" s="1"/>
  <c r="F183" i="14"/>
  <c r="E183" i="14"/>
  <c r="D183" i="14"/>
  <c r="O183" i="14" s="1"/>
  <c r="F182" i="14"/>
  <c r="E182" i="14"/>
  <c r="D182" i="14"/>
  <c r="O182" i="14" s="1"/>
  <c r="F181" i="14"/>
  <c r="E181" i="14"/>
  <c r="D181" i="14"/>
  <c r="O181" i="14" s="1"/>
  <c r="F180" i="14"/>
  <c r="E180" i="14"/>
  <c r="D180" i="14"/>
  <c r="O180" i="14" s="1"/>
  <c r="F179" i="14"/>
  <c r="E179" i="14"/>
  <c r="D179" i="14"/>
  <c r="O179" i="14" s="1"/>
  <c r="F178" i="14"/>
  <c r="E178" i="14"/>
  <c r="D178" i="14"/>
  <c r="O178" i="14" s="1"/>
  <c r="F177" i="14"/>
  <c r="E177" i="14"/>
  <c r="D177" i="14"/>
  <c r="O177" i="14" s="1"/>
  <c r="F176" i="14"/>
  <c r="E176" i="14"/>
  <c r="D176" i="14"/>
  <c r="O176" i="14" s="1"/>
  <c r="F175" i="14"/>
  <c r="E175" i="14"/>
  <c r="D175" i="14"/>
  <c r="O175" i="14" s="1"/>
  <c r="F174" i="14"/>
  <c r="E174" i="14"/>
  <c r="D174" i="14"/>
  <c r="O174" i="14" s="1"/>
  <c r="G173" i="14"/>
  <c r="F173" i="14"/>
  <c r="E173" i="14"/>
  <c r="D173" i="14"/>
  <c r="O173" i="14" s="1"/>
  <c r="G172" i="14"/>
  <c r="F172" i="14"/>
  <c r="E172" i="14"/>
  <c r="D172" i="14"/>
  <c r="O172" i="14" s="1"/>
  <c r="G171" i="14"/>
  <c r="F171" i="14"/>
  <c r="E171" i="14"/>
  <c r="D171" i="14"/>
  <c r="O171" i="14" s="1"/>
  <c r="G170" i="14"/>
  <c r="F170" i="14"/>
  <c r="E170" i="14"/>
  <c r="D170" i="14"/>
  <c r="O170" i="14" s="1"/>
  <c r="G169" i="14"/>
  <c r="F169" i="14"/>
  <c r="E169" i="14"/>
  <c r="D169" i="14"/>
  <c r="O169" i="14" s="1"/>
  <c r="G168" i="14"/>
  <c r="F168" i="14"/>
  <c r="E168" i="14"/>
  <c r="D168" i="14"/>
  <c r="O168" i="14" s="1"/>
  <c r="G167" i="14"/>
  <c r="F167" i="14"/>
  <c r="E167" i="14"/>
  <c r="D167" i="14"/>
  <c r="O167" i="14" s="1"/>
  <c r="G166" i="14"/>
  <c r="F166" i="14"/>
  <c r="E166" i="14"/>
  <c r="D166" i="14"/>
  <c r="O166" i="14" s="1"/>
  <c r="G165" i="14"/>
  <c r="F165" i="14"/>
  <c r="E165" i="14"/>
  <c r="D165" i="14"/>
  <c r="O165" i="14" s="1"/>
  <c r="G164" i="14"/>
  <c r="F164" i="14"/>
  <c r="E164" i="14"/>
  <c r="D164" i="14"/>
  <c r="O164" i="14" s="1"/>
  <c r="G163" i="14"/>
  <c r="F163" i="14"/>
  <c r="E163" i="14"/>
  <c r="D163" i="14"/>
  <c r="O163" i="14" s="1"/>
  <c r="G162" i="14"/>
  <c r="F162" i="14"/>
  <c r="E162" i="14"/>
  <c r="D162" i="14"/>
  <c r="O162" i="14" s="1"/>
  <c r="G161" i="14"/>
  <c r="F161" i="14"/>
  <c r="E161" i="14"/>
  <c r="D161" i="14"/>
  <c r="O161" i="14" s="1"/>
  <c r="F160" i="14"/>
  <c r="E160" i="14"/>
  <c r="D160" i="14"/>
  <c r="O160" i="14" s="1"/>
  <c r="F159" i="14"/>
  <c r="E159" i="14"/>
  <c r="D159" i="14"/>
  <c r="O159" i="14" s="1"/>
  <c r="F158" i="14"/>
  <c r="E158" i="14"/>
  <c r="D158" i="14"/>
  <c r="O158" i="14" s="1"/>
  <c r="F157" i="14"/>
  <c r="E157" i="14"/>
  <c r="D157" i="14"/>
  <c r="O157" i="14" s="1"/>
  <c r="F156" i="14"/>
  <c r="E156" i="14"/>
  <c r="D156" i="14"/>
  <c r="O156" i="14" s="1"/>
  <c r="G155" i="14"/>
  <c r="F155" i="14"/>
  <c r="E155" i="14"/>
  <c r="D155" i="14"/>
  <c r="O155" i="14" s="1"/>
  <c r="G154" i="14"/>
  <c r="F154" i="14"/>
  <c r="E154" i="14"/>
  <c r="D154" i="14"/>
  <c r="O154" i="14" s="1"/>
  <c r="G153" i="14"/>
  <c r="F153" i="14"/>
  <c r="E153" i="14"/>
  <c r="D153" i="14"/>
  <c r="O153" i="14" s="1"/>
  <c r="G152" i="14"/>
  <c r="F152" i="14"/>
  <c r="E152" i="14"/>
  <c r="D152" i="14"/>
  <c r="O152" i="14" s="1"/>
  <c r="F151" i="14"/>
  <c r="E151" i="14"/>
  <c r="D151" i="14"/>
  <c r="O151" i="14" s="1"/>
  <c r="G150" i="14"/>
  <c r="F150" i="14"/>
  <c r="E150" i="14"/>
  <c r="D150" i="14"/>
  <c r="O150" i="14" s="1"/>
  <c r="G149" i="14"/>
  <c r="F149" i="14"/>
  <c r="E149" i="14"/>
  <c r="D149" i="14"/>
  <c r="O149" i="14" s="1"/>
  <c r="G148" i="14"/>
  <c r="F148" i="14"/>
  <c r="E148" i="14"/>
  <c r="D148" i="14"/>
  <c r="O148" i="14" s="1"/>
  <c r="G147" i="14"/>
  <c r="F147" i="14"/>
  <c r="E147" i="14"/>
  <c r="D147" i="14"/>
  <c r="O147" i="14" s="1"/>
  <c r="F146" i="14"/>
  <c r="E146" i="14"/>
  <c r="D146" i="14"/>
  <c r="O146" i="14" s="1"/>
  <c r="G145" i="14"/>
  <c r="F145" i="14"/>
  <c r="E145" i="14"/>
  <c r="D145" i="14"/>
  <c r="O145" i="14" s="1"/>
  <c r="G144" i="14"/>
  <c r="F144" i="14"/>
  <c r="E144" i="14"/>
  <c r="D144" i="14"/>
  <c r="O144" i="14" s="1"/>
  <c r="G143" i="14"/>
  <c r="F143" i="14"/>
  <c r="E143" i="14"/>
  <c r="D143" i="14"/>
  <c r="O143" i="14" s="1"/>
  <c r="G142" i="14"/>
  <c r="F142" i="14"/>
  <c r="E142" i="14"/>
  <c r="D142" i="14"/>
  <c r="O142" i="14" s="1"/>
  <c r="F141" i="14"/>
  <c r="E141" i="14"/>
  <c r="D141" i="14"/>
  <c r="O141" i="14" s="1"/>
  <c r="G140" i="14"/>
  <c r="F140" i="14"/>
  <c r="E140" i="14"/>
  <c r="D140" i="14"/>
  <c r="O140" i="14" s="1"/>
  <c r="G139" i="14"/>
  <c r="F139" i="14"/>
  <c r="E139" i="14"/>
  <c r="D139" i="14"/>
  <c r="O139" i="14" s="1"/>
  <c r="G138" i="14"/>
  <c r="F138" i="14"/>
  <c r="E138" i="14"/>
  <c r="D138" i="14"/>
  <c r="O138" i="14" s="1"/>
  <c r="G137" i="14"/>
  <c r="F137" i="14"/>
  <c r="E137" i="14"/>
  <c r="D137" i="14"/>
  <c r="O137" i="14" s="1"/>
  <c r="F136" i="14"/>
  <c r="E136" i="14"/>
  <c r="D136" i="14"/>
  <c r="O136" i="14" s="1"/>
  <c r="F135" i="14"/>
  <c r="E135" i="14"/>
  <c r="D135" i="14"/>
  <c r="O135" i="14" s="1"/>
  <c r="F134" i="14"/>
  <c r="E134" i="14"/>
  <c r="D134" i="14"/>
  <c r="O134" i="14" s="1"/>
  <c r="F133" i="14"/>
  <c r="E133" i="14"/>
  <c r="D133" i="14"/>
  <c r="O133" i="14" s="1"/>
  <c r="F132" i="14"/>
  <c r="E132" i="14"/>
  <c r="D132" i="14"/>
  <c r="O132" i="14" s="1"/>
  <c r="F131" i="14"/>
  <c r="E131" i="14"/>
  <c r="D131" i="14"/>
  <c r="O131" i="14" s="1"/>
  <c r="F130" i="14"/>
  <c r="E130" i="14"/>
  <c r="D130" i="14"/>
  <c r="O130" i="14" s="1"/>
  <c r="F129" i="14"/>
  <c r="E129" i="14"/>
  <c r="D129" i="14"/>
  <c r="O129" i="14" s="1"/>
  <c r="F128" i="14"/>
  <c r="E128" i="14"/>
  <c r="D128" i="14"/>
  <c r="O128" i="14" s="1"/>
  <c r="F127" i="14"/>
  <c r="E127" i="14"/>
  <c r="D127" i="14"/>
  <c r="O127" i="14" s="1"/>
  <c r="F126" i="14"/>
  <c r="E126" i="14"/>
  <c r="D126" i="14"/>
  <c r="O126" i="14" s="1"/>
  <c r="F125" i="14"/>
  <c r="E125" i="14"/>
  <c r="D125" i="14"/>
  <c r="O125" i="14" s="1"/>
  <c r="F124" i="14"/>
  <c r="E124" i="14"/>
  <c r="D124" i="14"/>
  <c r="O124" i="14" s="1"/>
  <c r="F123" i="14"/>
  <c r="E123" i="14"/>
  <c r="D123" i="14"/>
  <c r="O123" i="14" s="1"/>
  <c r="F122" i="14"/>
  <c r="E122" i="14"/>
  <c r="D122" i="14"/>
  <c r="O122" i="14" s="1"/>
  <c r="F121" i="14"/>
  <c r="E121" i="14"/>
  <c r="D121" i="14"/>
  <c r="O121" i="14" s="1"/>
  <c r="F120" i="14"/>
  <c r="E120" i="14"/>
  <c r="D120" i="14"/>
  <c r="O120" i="14" s="1"/>
  <c r="F119" i="14"/>
  <c r="E119" i="14"/>
  <c r="D119" i="14"/>
  <c r="O119" i="14" s="1"/>
  <c r="F118" i="14"/>
  <c r="E118" i="14"/>
  <c r="D118" i="14"/>
  <c r="O118" i="14" s="1"/>
  <c r="F117" i="14"/>
  <c r="E117" i="14"/>
  <c r="D117" i="14"/>
  <c r="O117" i="14" s="1"/>
  <c r="F116" i="14"/>
  <c r="E116" i="14"/>
  <c r="D116" i="14"/>
  <c r="O116" i="14" s="1"/>
  <c r="F115" i="14"/>
  <c r="E115" i="14"/>
  <c r="D115" i="14"/>
  <c r="O115" i="14" s="1"/>
  <c r="F114" i="14"/>
  <c r="E114" i="14"/>
  <c r="D114" i="14"/>
  <c r="O114" i="14" s="1"/>
  <c r="F113" i="14"/>
  <c r="E113" i="14"/>
  <c r="D113" i="14"/>
  <c r="O113" i="14" s="1"/>
  <c r="F112" i="14"/>
  <c r="E112" i="14"/>
  <c r="D112" i="14"/>
  <c r="O112" i="14" s="1"/>
  <c r="F111" i="14"/>
  <c r="E111" i="14"/>
  <c r="D111" i="14"/>
  <c r="O111" i="14" s="1"/>
  <c r="F110" i="14"/>
  <c r="E110" i="14"/>
  <c r="D110" i="14"/>
  <c r="O110" i="14" s="1"/>
  <c r="F109" i="14"/>
  <c r="E109" i="14"/>
  <c r="D109" i="14"/>
  <c r="O109" i="14" s="1"/>
  <c r="F108" i="14"/>
  <c r="E108" i="14"/>
  <c r="D108" i="14"/>
  <c r="O108" i="14" s="1"/>
  <c r="F107" i="14"/>
  <c r="E107" i="14"/>
  <c r="D107" i="14"/>
  <c r="O107" i="14" s="1"/>
  <c r="F106" i="14"/>
  <c r="E106" i="14"/>
  <c r="D106" i="14"/>
  <c r="O106" i="14" s="1"/>
  <c r="F105" i="14"/>
  <c r="E105" i="14"/>
  <c r="D105" i="14"/>
  <c r="O105" i="14" s="1"/>
  <c r="F104" i="14"/>
  <c r="E104" i="14"/>
  <c r="D104" i="14"/>
  <c r="O104" i="14" s="1"/>
  <c r="F103" i="14"/>
  <c r="E103" i="14"/>
  <c r="D103" i="14"/>
  <c r="O103" i="14" s="1"/>
  <c r="F102" i="14"/>
  <c r="E102" i="14"/>
  <c r="D102" i="14"/>
  <c r="O102" i="14" s="1"/>
  <c r="F101" i="14"/>
  <c r="E101" i="14"/>
  <c r="D101" i="14"/>
  <c r="O101" i="14" s="1"/>
  <c r="F100" i="14"/>
  <c r="E100" i="14"/>
  <c r="D100" i="14"/>
  <c r="O100" i="14" s="1"/>
  <c r="F99" i="14"/>
  <c r="E99" i="14"/>
  <c r="D99" i="14"/>
  <c r="O99" i="14" s="1"/>
  <c r="F98" i="14"/>
  <c r="E98" i="14"/>
  <c r="D98" i="14"/>
  <c r="O98" i="14" s="1"/>
  <c r="F97" i="14"/>
  <c r="E97" i="14"/>
  <c r="D97" i="14"/>
  <c r="O97" i="14" s="1"/>
  <c r="F96" i="14"/>
  <c r="E96" i="14"/>
  <c r="D96" i="14"/>
  <c r="O96" i="14" s="1"/>
  <c r="F95" i="14"/>
  <c r="E95" i="14"/>
  <c r="D95" i="14"/>
  <c r="O95" i="14" s="1"/>
  <c r="F94" i="14"/>
  <c r="E94" i="14"/>
  <c r="D94" i="14"/>
  <c r="O94" i="14" s="1"/>
  <c r="F93" i="14"/>
  <c r="E93" i="14"/>
  <c r="D93" i="14"/>
  <c r="O93" i="14" s="1"/>
  <c r="F92" i="14"/>
  <c r="E92" i="14"/>
  <c r="D92" i="14"/>
  <c r="O92" i="14" s="1"/>
  <c r="F91" i="14"/>
  <c r="E91" i="14"/>
  <c r="D91" i="14"/>
  <c r="O91" i="14" s="1"/>
  <c r="F90" i="14"/>
  <c r="E90" i="14"/>
  <c r="D90" i="14"/>
  <c r="O90" i="14" s="1"/>
  <c r="F89" i="14"/>
  <c r="E89" i="14"/>
  <c r="D89" i="14"/>
  <c r="O89" i="14" s="1"/>
  <c r="F88" i="14"/>
  <c r="E88" i="14"/>
  <c r="D88" i="14"/>
  <c r="O88" i="14" s="1"/>
  <c r="F87" i="14"/>
  <c r="E87" i="14"/>
  <c r="D87" i="14"/>
  <c r="O87" i="14" s="1"/>
  <c r="F86" i="14"/>
  <c r="E86" i="14"/>
  <c r="D86" i="14"/>
  <c r="O86" i="14" s="1"/>
  <c r="F85" i="14"/>
  <c r="E85" i="14"/>
  <c r="D85" i="14"/>
  <c r="O85" i="14" s="1"/>
  <c r="F84" i="14"/>
  <c r="E84" i="14"/>
  <c r="D84" i="14"/>
  <c r="O84" i="14" s="1"/>
  <c r="F83" i="14"/>
  <c r="E83" i="14"/>
  <c r="D83" i="14"/>
  <c r="O83" i="14" s="1"/>
  <c r="F82" i="14"/>
  <c r="E82" i="14"/>
  <c r="D82" i="14"/>
  <c r="O82" i="14" s="1"/>
  <c r="F81" i="14"/>
  <c r="E81" i="14"/>
  <c r="D81" i="14"/>
  <c r="O81" i="14" s="1"/>
  <c r="F80" i="14"/>
  <c r="E80" i="14"/>
  <c r="D80" i="14"/>
  <c r="O80" i="14" s="1"/>
  <c r="F79" i="14"/>
  <c r="E79" i="14"/>
  <c r="D79" i="14"/>
  <c r="O79" i="14" s="1"/>
  <c r="F78" i="14"/>
  <c r="E78" i="14"/>
  <c r="D78" i="14"/>
  <c r="O78" i="14" s="1"/>
  <c r="F77" i="14"/>
  <c r="E77" i="14"/>
  <c r="D77" i="14"/>
  <c r="O77" i="14" s="1"/>
  <c r="F76" i="14"/>
  <c r="E76" i="14"/>
  <c r="D76" i="14"/>
  <c r="O76" i="14" s="1"/>
  <c r="F75" i="14"/>
  <c r="E75" i="14"/>
  <c r="D75" i="14"/>
  <c r="O75" i="14" s="1"/>
  <c r="F74" i="14"/>
  <c r="E74" i="14"/>
  <c r="D74" i="14"/>
  <c r="O74" i="14" s="1"/>
  <c r="F73" i="14"/>
  <c r="E73" i="14"/>
  <c r="D73" i="14"/>
  <c r="O73" i="14" s="1"/>
  <c r="F72" i="14"/>
  <c r="E72" i="14"/>
  <c r="D72" i="14"/>
  <c r="O72" i="14" s="1"/>
  <c r="F71" i="14"/>
  <c r="E71" i="14"/>
  <c r="D71" i="14"/>
  <c r="O71" i="14" s="1"/>
  <c r="F70" i="14"/>
  <c r="E70" i="14"/>
  <c r="D70" i="14"/>
  <c r="O70" i="14" s="1"/>
  <c r="F69" i="14"/>
  <c r="E69" i="14"/>
  <c r="D69" i="14"/>
  <c r="O69" i="14" s="1"/>
  <c r="F68" i="14"/>
  <c r="E68" i="14"/>
  <c r="D68" i="14"/>
  <c r="O68" i="14" s="1"/>
  <c r="F67" i="14"/>
  <c r="E67" i="14"/>
  <c r="D67" i="14"/>
  <c r="O67" i="14" s="1"/>
  <c r="F66" i="14"/>
  <c r="E66" i="14"/>
  <c r="D66" i="14"/>
  <c r="O66" i="14" s="1"/>
  <c r="F65" i="14"/>
  <c r="E65" i="14"/>
  <c r="D65" i="14"/>
  <c r="O65" i="14" s="1"/>
  <c r="F64" i="14"/>
  <c r="E64" i="14"/>
  <c r="D64" i="14"/>
  <c r="O64" i="14" s="1"/>
  <c r="F63" i="14"/>
  <c r="E63" i="14"/>
  <c r="D63" i="14"/>
  <c r="O63" i="14" s="1"/>
  <c r="F62" i="14"/>
  <c r="E62" i="14"/>
  <c r="D62" i="14"/>
  <c r="O62" i="14" s="1"/>
  <c r="F61" i="14"/>
  <c r="E61" i="14"/>
  <c r="D61" i="14"/>
  <c r="O61" i="14" s="1"/>
  <c r="F60" i="14"/>
  <c r="E60" i="14"/>
  <c r="D60" i="14"/>
  <c r="O60" i="14" s="1"/>
  <c r="F59" i="14"/>
  <c r="E59" i="14"/>
  <c r="D59" i="14"/>
  <c r="O59" i="14" s="1"/>
  <c r="F58" i="14"/>
  <c r="E58" i="14"/>
  <c r="D58" i="14"/>
  <c r="O58" i="14" s="1"/>
  <c r="F57" i="14"/>
  <c r="E57" i="14"/>
  <c r="D57" i="14"/>
  <c r="O57" i="14" s="1"/>
  <c r="F56" i="14"/>
  <c r="E56" i="14"/>
  <c r="D56" i="14"/>
  <c r="O56" i="14" s="1"/>
  <c r="F55" i="14"/>
  <c r="E55" i="14"/>
  <c r="D55" i="14"/>
  <c r="O55" i="14" s="1"/>
  <c r="F54" i="14"/>
  <c r="E54" i="14"/>
  <c r="D54" i="14"/>
  <c r="O54" i="14" s="1"/>
  <c r="F53" i="14"/>
  <c r="E53" i="14"/>
  <c r="D53" i="14"/>
  <c r="O53" i="14" s="1"/>
  <c r="F52" i="14"/>
  <c r="E52" i="14"/>
  <c r="D52" i="14"/>
  <c r="O52" i="14" s="1"/>
  <c r="F51" i="14"/>
  <c r="E51" i="14"/>
  <c r="D51" i="14"/>
  <c r="O51" i="14" s="1"/>
  <c r="F50" i="14"/>
  <c r="E50" i="14"/>
  <c r="D50" i="14"/>
  <c r="O50" i="14" s="1"/>
  <c r="F49" i="14"/>
  <c r="E49" i="14"/>
  <c r="D49" i="14"/>
  <c r="O49" i="14" s="1"/>
  <c r="F48" i="14"/>
  <c r="E48" i="14"/>
  <c r="D48" i="14"/>
  <c r="O48" i="14" s="1"/>
  <c r="F47" i="14"/>
  <c r="E47" i="14"/>
  <c r="D47" i="14"/>
  <c r="O47" i="14" s="1"/>
  <c r="F46" i="14"/>
  <c r="E46" i="14"/>
  <c r="D46" i="14"/>
  <c r="O46" i="14" s="1"/>
  <c r="F45" i="14"/>
  <c r="E45" i="14"/>
  <c r="D45" i="14"/>
  <c r="O45" i="14" s="1"/>
  <c r="F44" i="14"/>
  <c r="E44" i="14"/>
  <c r="D44" i="14"/>
  <c r="O44" i="14" s="1"/>
  <c r="F43" i="14"/>
  <c r="E43" i="14"/>
  <c r="D43" i="14"/>
  <c r="O43" i="14" s="1"/>
  <c r="F42" i="14"/>
  <c r="E42" i="14"/>
  <c r="D42" i="14"/>
  <c r="O42" i="14" s="1"/>
  <c r="F41" i="14"/>
  <c r="E41" i="14"/>
  <c r="D41" i="14"/>
  <c r="O41" i="14" s="1"/>
  <c r="F40" i="14"/>
  <c r="E40" i="14"/>
  <c r="D40" i="14"/>
  <c r="O40" i="14" s="1"/>
  <c r="F39" i="14"/>
  <c r="E39" i="14"/>
  <c r="D39" i="14"/>
  <c r="O39" i="14" s="1"/>
  <c r="F38" i="14"/>
  <c r="E38" i="14"/>
  <c r="D38" i="14"/>
  <c r="O38" i="14" s="1"/>
  <c r="F37" i="14"/>
  <c r="E37" i="14"/>
  <c r="D37" i="14"/>
  <c r="O37" i="14" s="1"/>
  <c r="F36" i="14"/>
  <c r="E36" i="14"/>
  <c r="D36" i="14"/>
  <c r="O36" i="14" s="1"/>
  <c r="F35" i="14"/>
  <c r="E35" i="14"/>
  <c r="D35" i="14"/>
  <c r="O35" i="14" s="1"/>
  <c r="F34" i="14"/>
  <c r="E34" i="14"/>
  <c r="D34" i="14"/>
  <c r="O34" i="14" s="1"/>
  <c r="F33" i="14"/>
  <c r="E33" i="14"/>
  <c r="D33" i="14"/>
  <c r="O33" i="14" s="1"/>
  <c r="F32" i="14"/>
  <c r="E32" i="14"/>
  <c r="D32" i="14"/>
  <c r="O32" i="14" s="1"/>
  <c r="F31" i="14"/>
  <c r="E31" i="14"/>
  <c r="D31" i="14"/>
  <c r="O31" i="14" s="1"/>
  <c r="F30" i="14"/>
  <c r="E30" i="14"/>
  <c r="D30" i="14"/>
  <c r="O30" i="14" s="1"/>
  <c r="F29" i="14"/>
  <c r="E29" i="14"/>
  <c r="D29" i="14"/>
  <c r="O29" i="14" s="1"/>
  <c r="F28" i="14"/>
  <c r="E28" i="14"/>
  <c r="D28" i="14"/>
  <c r="O28" i="14" s="1"/>
  <c r="F27" i="14"/>
  <c r="E27" i="14"/>
  <c r="D27" i="14"/>
  <c r="O27" i="14" s="1"/>
  <c r="F26" i="14"/>
  <c r="E26" i="14"/>
  <c r="D26" i="14"/>
  <c r="O26" i="14" s="1"/>
  <c r="F25" i="14"/>
  <c r="E25" i="14"/>
  <c r="D25" i="14"/>
  <c r="O25" i="14" s="1"/>
  <c r="F24" i="14"/>
  <c r="E24" i="14"/>
  <c r="D24" i="14"/>
  <c r="O24" i="14" s="1"/>
  <c r="F23" i="14"/>
  <c r="E23" i="14"/>
  <c r="D23" i="14"/>
  <c r="O23" i="14" s="1"/>
  <c r="F22" i="14"/>
  <c r="E22" i="14"/>
  <c r="D22" i="14"/>
  <c r="O22" i="14" s="1"/>
  <c r="F21" i="14"/>
  <c r="E21" i="14"/>
  <c r="D21" i="14"/>
  <c r="O21" i="14" s="1"/>
  <c r="F20" i="14"/>
  <c r="E20" i="14"/>
  <c r="D20" i="14"/>
  <c r="O20" i="14" s="1"/>
  <c r="F19" i="14"/>
  <c r="E19" i="14"/>
  <c r="D19" i="14"/>
  <c r="O19" i="14" s="1"/>
  <c r="F18" i="14"/>
  <c r="E18" i="14"/>
  <c r="D18" i="14"/>
  <c r="O18" i="14" s="1"/>
  <c r="F17" i="14"/>
  <c r="E17" i="14"/>
  <c r="D17" i="14"/>
  <c r="O17" i="14" s="1"/>
  <c r="F16" i="14"/>
  <c r="E16" i="14"/>
  <c r="D16" i="14"/>
  <c r="O16" i="14" s="1"/>
  <c r="O15" i="14"/>
  <c r="N15" i="14"/>
  <c r="G15" i="14"/>
  <c r="F15" i="14"/>
  <c r="E15" i="14"/>
  <c r="D15" i="14"/>
  <c r="C15" i="14"/>
  <c r="B15" i="14"/>
  <c r="B14" i="14"/>
  <c r="M8" i="14"/>
  <c r="C8" i="14"/>
  <c r="M7" i="14"/>
  <c r="C7" i="14"/>
  <c r="H6" i="14"/>
  <c r="G6" i="14"/>
  <c r="C6" i="14"/>
  <c r="D5" i="14"/>
  <c r="M4" i="14"/>
  <c r="H4" i="14"/>
  <c r="G4" i="14"/>
  <c r="Q7" i="14" l="1"/>
  <c r="C37" i="4"/>
  <c r="M2" i="6"/>
  <c r="N669" i="14" l="1"/>
  <c r="N670" i="14" s="1"/>
  <c r="N671" i="14" s="1"/>
  <c r="N672" i="14" s="1"/>
  <c r="N673" i="14" s="1"/>
  <c r="O669" i="14"/>
  <c r="BP9" i="9"/>
  <c r="BN9" i="9"/>
  <c r="BM9" i="9"/>
  <c r="BK9" i="9"/>
  <c r="BH9" i="9"/>
  <c r="BD9" i="9"/>
  <c r="BB9" i="9"/>
  <c r="AY9" i="9"/>
  <c r="AW9" i="9"/>
  <c r="AU9" i="9"/>
  <c r="AP9" i="9"/>
  <c r="AN9" i="9"/>
  <c r="AL9" i="9"/>
  <c r="AK9" i="9"/>
  <c r="AI9" i="9"/>
  <c r="AF9" i="9"/>
  <c r="AB9" i="9"/>
  <c r="Z9" i="9"/>
  <c r="Y9" i="9"/>
  <c r="X9" i="9"/>
  <c r="Q9" i="9"/>
  <c r="M9" i="9"/>
  <c r="K9" i="9"/>
  <c r="J9" i="9"/>
  <c r="I9" i="9"/>
  <c r="B9" i="9"/>
  <c r="BS7" i="9"/>
  <c r="AS7" i="9"/>
  <c r="AE7" i="9"/>
  <c r="E7" i="9"/>
  <c r="BS6" i="9"/>
  <c r="AS6" i="9"/>
  <c r="AE6" i="9"/>
  <c r="E6" i="9"/>
  <c r="BS5" i="9"/>
  <c r="AS5" i="9"/>
  <c r="AE5" i="9"/>
  <c r="E5" i="9"/>
  <c r="BS4" i="9"/>
  <c r="AS4" i="9"/>
  <c r="AE4" i="9"/>
  <c r="E4" i="9"/>
  <c r="AS3" i="9"/>
  <c r="E3" i="9"/>
  <c r="O670" i="14" l="1"/>
  <c r="F165" i="7"/>
  <c r="F164" i="7"/>
  <c r="O671" i="14" l="1"/>
  <c r="O203" i="7"/>
  <c r="O672" i="14" l="1"/>
  <c r="G44" i="5"/>
  <c r="N674" i="14" l="1"/>
  <c r="O673" i="14"/>
  <c r="AE2" i="4"/>
  <c r="N675" i="14" l="1"/>
  <c r="O675" i="14" s="1"/>
  <c r="O674" i="14"/>
  <c r="D196" i="7"/>
  <c r="O196" i="7" s="1"/>
  <c r="E196" i="7"/>
  <c r="Z136" i="7" l="1"/>
  <c r="Z131" i="7"/>
  <c r="Z126" i="7"/>
  <c r="D204" i="7" l="1"/>
  <c r="O204" i="7" s="1"/>
  <c r="D200" i="7"/>
  <c r="O200" i="7" s="1"/>
  <c r="D201" i="7"/>
  <c r="O201" i="7" s="1"/>
  <c r="D202" i="7"/>
  <c r="O202" i="7" s="1"/>
  <c r="D199" i="7" l="1"/>
  <c r="O199" i="7" s="1"/>
  <c r="D195" i="7" l="1"/>
  <c r="O195" i="7" s="1"/>
  <c r="D194" i="7" l="1"/>
  <c r="O194" i="7" s="1"/>
  <c r="D180" i="7"/>
  <c r="D181" i="7"/>
  <c r="D182" i="7"/>
  <c r="D183" i="7"/>
  <c r="D184" i="7"/>
  <c r="D185" i="7"/>
  <c r="D186" i="7"/>
  <c r="D187" i="7"/>
  <c r="D188" i="7"/>
  <c r="D189" i="7"/>
  <c r="D190" i="7"/>
  <c r="D191" i="7"/>
  <c r="D192" i="7"/>
  <c r="D193" i="7"/>
  <c r="D176" i="7"/>
  <c r="D177" i="7"/>
  <c r="D178" i="7"/>
  <c r="D179" i="7"/>
  <c r="D174" i="7"/>
  <c r="D175" i="7"/>
  <c r="O173" i="7"/>
  <c r="BA37" i="4"/>
  <c r="AT37" i="4"/>
  <c r="D172" i="7"/>
  <c r="O172" i="7" s="1"/>
  <c r="O193" i="7" l="1"/>
  <c r="O178" i="7"/>
  <c r="O177" i="7"/>
  <c r="O192" i="7"/>
  <c r="O184" i="7"/>
  <c r="O179" i="7"/>
  <c r="O176" i="7"/>
  <c r="O190" i="7"/>
  <c r="O186" i="7"/>
  <c r="O182" i="7"/>
  <c r="O180" i="7"/>
  <c r="O174" i="7"/>
  <c r="O191" i="7"/>
  <c r="O189" i="7"/>
  <c r="O188" i="7"/>
  <c r="O187" i="7"/>
  <c r="O185" i="7"/>
  <c r="O183" i="7"/>
  <c r="O181" i="7"/>
  <c r="O175" i="7"/>
  <c r="O171" i="7"/>
  <c r="D170" i="7"/>
  <c r="O170" i="7" s="1"/>
  <c r="O169" i="7"/>
  <c r="D168" i="7" l="1"/>
  <c r="O168" i="7" s="1"/>
  <c r="D167" i="7"/>
  <c r="O167" i="7" s="1"/>
  <c r="D166" i="7"/>
  <c r="O166" i="7" s="1"/>
  <c r="G165" i="7" l="1"/>
  <c r="G164" i="7"/>
  <c r="D165" i="7"/>
  <c r="O165" i="7" s="1"/>
  <c r="D164" i="7"/>
  <c r="O164" i="7" s="1"/>
  <c r="D161" i="7" l="1"/>
  <c r="O161" i="7" s="1"/>
  <c r="D162" i="7"/>
  <c r="O162" i="7" s="1"/>
  <c r="D163" i="7"/>
  <c r="O163" i="7" s="1"/>
  <c r="D158" i="7"/>
  <c r="O158" i="7" s="1"/>
  <c r="D159" i="7"/>
  <c r="O159" i="7" s="1"/>
  <c r="D160" i="7"/>
  <c r="O160" i="7" s="1"/>
  <c r="AH9" i="4"/>
  <c r="D157" i="7"/>
  <c r="O157" i="7" s="1"/>
  <c r="D97" i="7"/>
  <c r="D99" i="7"/>
  <c r="D100" i="7"/>
  <c r="D102" i="7"/>
  <c r="D103" i="7"/>
  <c r="D104" i="7"/>
  <c r="D105" i="7"/>
  <c r="D107" i="7"/>
  <c r="D108" i="7"/>
  <c r="D109" i="7"/>
  <c r="D110" i="7"/>
  <c r="D112" i="7"/>
  <c r="D113" i="7"/>
  <c r="D114" i="7"/>
  <c r="D115" i="7"/>
  <c r="D116" i="7"/>
  <c r="D117" i="7"/>
  <c r="D118" i="7"/>
  <c r="D119" i="7"/>
  <c r="D120" i="7"/>
  <c r="D121" i="7"/>
  <c r="O121" i="7" s="1"/>
  <c r="D122" i="7"/>
  <c r="D123" i="7"/>
  <c r="D124" i="7"/>
  <c r="D125" i="7"/>
  <c r="D126" i="7"/>
  <c r="O126" i="7" s="1"/>
  <c r="D127" i="7"/>
  <c r="D128" i="7"/>
  <c r="D129" i="7"/>
  <c r="D130" i="7"/>
  <c r="D131" i="7"/>
  <c r="O131" i="7" s="1"/>
  <c r="D132" i="7"/>
  <c r="D133" i="7"/>
  <c r="D134" i="7"/>
  <c r="D135" i="7"/>
  <c r="D136" i="7"/>
  <c r="O136" i="7" s="1"/>
  <c r="D137" i="7"/>
  <c r="D138" i="7"/>
  <c r="D139" i="7"/>
  <c r="D140" i="7"/>
  <c r="D141" i="7"/>
  <c r="O141" i="7" s="1"/>
  <c r="D142" i="7"/>
  <c r="D143" i="7"/>
  <c r="D144" i="7"/>
  <c r="D145" i="7"/>
  <c r="D146" i="7"/>
  <c r="O146" i="7" s="1"/>
  <c r="D147" i="7"/>
  <c r="D148" i="7"/>
  <c r="D149" i="7"/>
  <c r="D150" i="7"/>
  <c r="D151" i="7"/>
  <c r="O151" i="7" s="1"/>
  <c r="D152" i="7"/>
  <c r="D153" i="7"/>
  <c r="D154" i="7"/>
  <c r="D155" i="7"/>
  <c r="D156" i="7"/>
  <c r="O156" i="7" s="1"/>
  <c r="D96" i="7"/>
  <c r="O127" i="7" l="1"/>
  <c r="O144" i="7"/>
  <c r="O142" i="7"/>
  <c r="O104" i="7"/>
  <c r="O99" i="7"/>
  <c r="O124" i="7"/>
  <c r="O122" i="7"/>
  <c r="O100" i="7"/>
  <c r="O147" i="7"/>
  <c r="O145" i="7"/>
  <c r="O143" i="7"/>
  <c r="O138" i="7"/>
  <c r="O137" i="7"/>
  <c r="O153" i="7"/>
  <c r="O105" i="7"/>
  <c r="O123" i="7"/>
  <c r="O116" i="7"/>
  <c r="O135" i="7"/>
  <c r="O134" i="7"/>
  <c r="O113" i="7"/>
  <c r="O107" i="7"/>
  <c r="O125" i="7"/>
  <c r="O102" i="7"/>
  <c r="O140" i="7"/>
  <c r="O119" i="7"/>
  <c r="O96" i="7"/>
  <c r="O114" i="7"/>
  <c r="O133" i="7"/>
  <c r="O112" i="7"/>
  <c r="O103" i="7"/>
  <c r="O120" i="7"/>
  <c r="O139" i="7"/>
  <c r="O118" i="7"/>
  <c r="O97" i="7"/>
  <c r="O117" i="7"/>
  <c r="O155" i="7"/>
  <c r="O115" i="7"/>
  <c r="O154" i="7"/>
  <c r="O152" i="7"/>
  <c r="O132" i="7"/>
  <c r="O150" i="7"/>
  <c r="O130" i="7"/>
  <c r="O110" i="7"/>
  <c r="O149" i="7"/>
  <c r="O129" i="7"/>
  <c r="O109" i="7"/>
  <c r="O148" i="7"/>
  <c r="O128" i="7"/>
  <c r="O108" i="7"/>
  <c r="O15" i="7"/>
  <c r="N15" i="7"/>
  <c r="M8" i="7"/>
  <c r="M7" i="7"/>
  <c r="M4" i="7"/>
  <c r="H4" i="7"/>
  <c r="G6" i="7"/>
  <c r="G4" i="7"/>
  <c r="C8" i="7"/>
  <c r="C7" i="7"/>
  <c r="C6" i="7"/>
  <c r="D5" i="7"/>
  <c r="F202" i="7" l="1"/>
  <c r="F201" i="7"/>
  <c r="F200" i="7"/>
  <c r="F199"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5" i="7"/>
  <c r="F124" i="7"/>
  <c r="F123" i="7"/>
  <c r="F122" i="7"/>
  <c r="F120" i="7"/>
  <c r="F119" i="7"/>
  <c r="F118" i="7"/>
  <c r="F117" i="7"/>
  <c r="F115" i="7"/>
  <c r="F114" i="7"/>
  <c r="F113" i="7"/>
  <c r="F112" i="7"/>
  <c r="F110" i="7"/>
  <c r="F109" i="7"/>
  <c r="F108" i="7"/>
  <c r="F107" i="7"/>
  <c r="F105" i="7"/>
  <c r="F104" i="7"/>
  <c r="F103" i="7"/>
  <c r="F102" i="7"/>
  <c r="F100" i="7"/>
  <c r="F99"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E204" i="7" l="1"/>
  <c r="E203" i="7"/>
  <c r="G202" i="7"/>
  <c r="E202" i="7"/>
  <c r="E201" i="7"/>
  <c r="E200" i="7"/>
  <c r="G199" i="7"/>
  <c r="E199" i="7"/>
  <c r="G194" i="7"/>
  <c r="E194" i="7"/>
  <c r="E193" i="7"/>
  <c r="E192" i="7"/>
  <c r="E191" i="7"/>
  <c r="E190" i="7"/>
  <c r="E189" i="7"/>
  <c r="E188" i="7"/>
  <c r="E187" i="7"/>
  <c r="E186" i="7"/>
  <c r="E185" i="7"/>
  <c r="E184" i="7"/>
  <c r="E183" i="7"/>
  <c r="E182" i="7"/>
  <c r="E181" i="7"/>
  <c r="E180" i="7"/>
  <c r="E179" i="7"/>
  <c r="E178" i="7"/>
  <c r="E177" i="7"/>
  <c r="E176" i="7"/>
  <c r="E175" i="7"/>
  <c r="E174" i="7"/>
  <c r="G173" i="7"/>
  <c r="E173" i="7"/>
  <c r="G172" i="7"/>
  <c r="E172" i="7"/>
  <c r="G171" i="7"/>
  <c r="E171" i="7"/>
  <c r="G170" i="7"/>
  <c r="E170" i="7"/>
  <c r="G169" i="7"/>
  <c r="E169" i="7"/>
  <c r="G168" i="7"/>
  <c r="E168" i="7"/>
  <c r="G167" i="7"/>
  <c r="E167" i="7"/>
  <c r="G166" i="7"/>
  <c r="E166" i="7"/>
  <c r="E165" i="7"/>
  <c r="E164" i="7"/>
  <c r="G163" i="7"/>
  <c r="E163" i="7"/>
  <c r="G162" i="7"/>
  <c r="E162" i="7"/>
  <c r="G161" i="7"/>
  <c r="E161" i="7"/>
  <c r="E160" i="7"/>
  <c r="E159" i="7"/>
  <c r="E158" i="7"/>
  <c r="E157" i="7"/>
  <c r="E156" i="7"/>
  <c r="G155" i="7"/>
  <c r="E155" i="7"/>
  <c r="G154" i="7"/>
  <c r="E154" i="7"/>
  <c r="G153" i="7"/>
  <c r="E153" i="7"/>
  <c r="G152" i="7"/>
  <c r="E152" i="7"/>
  <c r="E151" i="7"/>
  <c r="G150" i="7"/>
  <c r="E150" i="7"/>
  <c r="G149" i="7"/>
  <c r="E149" i="7"/>
  <c r="G148" i="7"/>
  <c r="E148" i="7"/>
  <c r="G147" i="7"/>
  <c r="E147" i="7"/>
  <c r="E146" i="7"/>
  <c r="G145" i="7"/>
  <c r="E145" i="7"/>
  <c r="G144" i="7"/>
  <c r="E144" i="7"/>
  <c r="G143" i="7"/>
  <c r="E143" i="7"/>
  <c r="G142" i="7"/>
  <c r="E142" i="7"/>
  <c r="E141" i="7"/>
  <c r="G140" i="7"/>
  <c r="E140" i="7"/>
  <c r="G139" i="7"/>
  <c r="E139" i="7"/>
  <c r="G138" i="7"/>
  <c r="E138" i="7"/>
  <c r="G137"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D95" i="7"/>
  <c r="O95" i="7" s="1"/>
  <c r="D94" i="7"/>
  <c r="O94" i="7" s="1"/>
  <c r="D91" i="7"/>
  <c r="O91" i="7" s="1"/>
  <c r="D90" i="7"/>
  <c r="O90" i="7" s="1"/>
  <c r="D89" i="7"/>
  <c r="O89" i="7" s="1"/>
  <c r="D86" i="7"/>
  <c r="O86" i="7" s="1"/>
  <c r="D85" i="7"/>
  <c r="O85" i="7" s="1"/>
  <c r="D84" i="7"/>
  <c r="O84" i="7" s="1"/>
  <c r="D81" i="7"/>
  <c r="O81" i="7" s="1"/>
  <c r="D80" i="7"/>
  <c r="O80" i="7" s="1"/>
  <c r="D79" i="7"/>
  <c r="O79" i="7" s="1"/>
  <c r="D76" i="7"/>
  <c r="O76" i="7" s="1"/>
  <c r="D75" i="7"/>
  <c r="O75" i="7" s="1"/>
  <c r="D74" i="7"/>
  <c r="O74" i="7" s="1"/>
  <c r="D71" i="7"/>
  <c r="O71" i="7" s="1"/>
  <c r="D70" i="7"/>
  <c r="O70" i="7" s="1"/>
  <c r="D69" i="7"/>
  <c r="O69" i="7" s="1"/>
  <c r="D66" i="7"/>
  <c r="O66" i="7" s="1"/>
  <c r="D65" i="7"/>
  <c r="O65" i="7" s="1"/>
  <c r="D64" i="7"/>
  <c r="O64" i="7" s="1"/>
  <c r="D61" i="7"/>
  <c r="O61" i="7" s="1"/>
  <c r="D60" i="7"/>
  <c r="O60" i="7" s="1"/>
  <c r="D59" i="7"/>
  <c r="O59" i="7" s="1"/>
  <c r="D56" i="7"/>
  <c r="O56" i="7" s="1"/>
  <c r="D55" i="7"/>
  <c r="O55" i="7" s="1"/>
  <c r="D51" i="7"/>
  <c r="O51" i="7" s="1"/>
  <c r="D50" i="7"/>
  <c r="O50" i="7" s="1"/>
  <c r="D49" i="7"/>
  <c r="O49" i="7" s="1"/>
  <c r="D46" i="7"/>
  <c r="O46" i="7" s="1"/>
  <c r="D45" i="7"/>
  <c r="O45" i="7" s="1"/>
  <c r="D41" i="7"/>
  <c r="O41" i="7" s="1"/>
  <c r="D40" i="7"/>
  <c r="O40" i="7" s="1"/>
  <c r="D39" i="7"/>
  <c r="O39" i="7" s="1"/>
  <c r="D36" i="7"/>
  <c r="O36" i="7" s="1"/>
  <c r="D35" i="7"/>
  <c r="O35" i="7" s="1"/>
  <c r="D31" i="7"/>
  <c r="O31" i="7" s="1"/>
  <c r="D30" i="7"/>
  <c r="O30" i="7" s="1"/>
  <c r="D29" i="7"/>
  <c r="O29" i="7" s="1"/>
  <c r="D26" i="7"/>
  <c r="O26" i="7" s="1"/>
  <c r="D25" i="7"/>
  <c r="O25" i="7" s="1"/>
  <c r="D24" i="7"/>
  <c r="O24" i="7" s="1"/>
  <c r="D22" i="7"/>
  <c r="O22" i="7" s="1"/>
  <c r="D21" i="7"/>
  <c r="O21" i="7" s="1"/>
  <c r="D20" i="7"/>
  <c r="O20" i="7" s="1"/>
  <c r="D19" i="7"/>
  <c r="O19" i="7" s="1"/>
  <c r="D17" i="7"/>
  <c r="O17" i="7" s="1"/>
  <c r="D16" i="7"/>
  <c r="O16" i="7" s="1"/>
  <c r="G15" i="7"/>
  <c r="F15" i="7"/>
  <c r="E15" i="7"/>
  <c r="D15" i="7"/>
  <c r="C15" i="7"/>
  <c r="B15" i="7"/>
  <c r="B14" i="7"/>
  <c r="D23" i="7" l="1"/>
  <c r="O23" i="7" s="1"/>
  <c r="D33" i="7"/>
  <c r="O33" i="7" s="1"/>
  <c r="D43" i="7"/>
  <c r="O43" i="7" s="1"/>
  <c r="D53" i="7"/>
  <c r="O53" i="7" s="1"/>
  <c r="D87" i="7"/>
  <c r="O87" i="7" s="1"/>
  <c r="D77" i="7"/>
  <c r="O77" i="7" s="1"/>
  <c r="D67" i="7"/>
  <c r="O67" i="7" s="1"/>
  <c r="D88" i="7"/>
  <c r="O88" i="7" s="1"/>
  <c r="D34" i="7"/>
  <c r="O34" i="7" s="1"/>
  <c r="D37" i="7"/>
  <c r="O37" i="7" s="1"/>
  <c r="D44" i="7"/>
  <c r="O44" i="7" s="1"/>
  <c r="D47" i="7"/>
  <c r="O47" i="7" s="1"/>
  <c r="D54" i="7"/>
  <c r="O54" i="7" s="1"/>
  <c r="D57" i="7"/>
  <c r="O57" i="7" s="1"/>
  <c r="D78" i="7"/>
  <c r="O78" i="7" s="1"/>
  <c r="D27" i="7"/>
  <c r="O27" i="7" s="1"/>
  <c r="D92" i="7"/>
  <c r="O92" i="7" s="1"/>
  <c r="D63" i="7"/>
  <c r="O63" i="7" s="1"/>
  <c r="D18" i="7"/>
  <c r="O18" i="7" s="1"/>
  <c r="D68" i="7"/>
  <c r="O68" i="7" s="1"/>
  <c r="D28" i="7"/>
  <c r="O28" i="7" s="1"/>
  <c r="D38" i="7"/>
  <c r="O38" i="7" s="1"/>
  <c r="D48" i="7"/>
  <c r="O48" i="7" s="1"/>
  <c r="D58" i="7"/>
  <c r="O58" i="7" s="1"/>
  <c r="D82" i="7"/>
  <c r="O82" i="7" s="1"/>
  <c r="D72" i="7"/>
  <c r="O72" i="7" s="1"/>
  <c r="D93" i="7"/>
  <c r="O93" i="7" s="1"/>
  <c r="D62" i="7"/>
  <c r="O62" i="7" s="1"/>
  <c r="D83" i="7"/>
  <c r="O83" i="7" s="1"/>
  <c r="D32" i="7"/>
  <c r="O32" i="7" s="1"/>
  <c r="D42" i="7"/>
  <c r="O42" i="7" s="1"/>
  <c r="D52" i="7"/>
  <c r="O52" i="7" s="1"/>
  <c r="D73" i="7"/>
  <c r="O73" i="7" s="1"/>
  <c r="Q7" i="7" l="1"/>
  <c r="AD26" i="4"/>
  <c r="AD25" i="4"/>
  <c r="AD19" i="4"/>
  <c r="T26" i="4"/>
  <c r="T29" i="4"/>
  <c r="T28" i="4"/>
  <c r="T27" i="4"/>
  <c r="M29" i="4"/>
  <c r="W18" i="4"/>
  <c r="O268" i="7" l="1"/>
  <c r="P11" i="7" s="1"/>
  <c r="AA269" i="7" s="1"/>
  <c r="W24" i="4"/>
  <c r="W23" i="4"/>
  <c r="W22" i="4"/>
  <c r="W21" i="4"/>
  <c r="W20" i="4"/>
  <c r="W19" i="4"/>
  <c r="R13" i="4"/>
  <c r="AB13" i="4"/>
  <c r="AB11" i="4"/>
  <c r="N268" i="7" l="1"/>
  <c r="N269" i="7" s="1"/>
  <c r="AI36" i="4"/>
  <c r="AI35" i="4"/>
  <c r="AI33" i="4"/>
  <c r="AH32" i="4"/>
  <c r="BA35" i="4"/>
  <c r="BA34" i="4"/>
  <c r="BA33" i="4"/>
  <c r="BA32" i="4"/>
  <c r="BA31" i="4"/>
  <c r="BA36" i="4"/>
  <c r="BA28" i="4"/>
  <c r="AT28" i="4"/>
  <c r="AT30" i="4"/>
  <c r="AS28" i="4"/>
  <c r="BA30" i="4"/>
  <c r="AT36" i="4"/>
  <c r="AT35" i="4"/>
  <c r="AT34" i="4"/>
  <c r="AT33" i="4"/>
  <c r="AT32" i="4"/>
  <c r="AT31" i="4"/>
  <c r="C33" i="4"/>
  <c r="C40" i="4"/>
  <c r="N270" i="7" l="1"/>
  <c r="N271" i="7" s="1"/>
  <c r="N272" i="7" s="1"/>
  <c r="O269" i="7"/>
  <c r="AR28" i="4"/>
  <c r="O270" i="7" l="1"/>
  <c r="O271" i="7" s="1"/>
  <c r="N273" i="7"/>
  <c r="N274" i="7" s="1"/>
  <c r="AP28" i="4"/>
  <c r="AO28" i="4"/>
  <c r="O272" i="7" l="1"/>
  <c r="O273" i="7"/>
  <c r="O274" i="7" s="1"/>
  <c r="AH26" i="4"/>
  <c r="AH15" i="4"/>
  <c r="AH12" i="4"/>
  <c r="AI30" i="4"/>
  <c r="AI27" i="4"/>
  <c r="AI22" i="4"/>
  <c r="AI21" i="4"/>
  <c r="AI20" i="4"/>
  <c r="AI19" i="4"/>
  <c r="AI18" i="4"/>
  <c r="AI17" i="4"/>
  <c r="AI16" i="4"/>
  <c r="O32" i="6" l="1"/>
  <c r="R6" i="6"/>
  <c r="R9" i="6" l="1"/>
  <c r="M10" i="6" s="1"/>
  <c r="R8" i="6"/>
  <c r="H24" i="6"/>
  <c r="E24" i="6"/>
  <c r="G23" i="6"/>
  <c r="G24" i="6" s="1"/>
  <c r="F23" i="6"/>
  <c r="F24" i="6" s="1"/>
  <c r="G10" i="6"/>
  <c r="F10" i="6"/>
  <c r="E10" i="6"/>
  <c r="X41" i="4" l="1"/>
  <c r="AD40" i="4"/>
  <c r="X40" i="4"/>
  <c r="X39" i="4"/>
  <c r="Z41" i="4" l="1"/>
  <c r="P41" i="4"/>
  <c r="T40" i="4"/>
  <c r="N40" i="4"/>
  <c r="N39" i="4"/>
  <c r="H41" i="4"/>
  <c r="E41" i="4"/>
  <c r="E40" i="4"/>
  <c r="N41" i="4"/>
  <c r="W32" i="4"/>
  <c r="M25" i="4" l="1"/>
  <c r="W17" i="4"/>
  <c r="M23" i="4"/>
  <c r="M22" i="4"/>
  <c r="N21" i="4"/>
  <c r="N20" i="4"/>
  <c r="S17" i="4"/>
  <c r="P17" i="4"/>
  <c r="P16" i="4"/>
  <c r="M17" i="4"/>
  <c r="S15" i="4"/>
  <c r="P15" i="4"/>
  <c r="M15" i="4"/>
  <c r="W13" i="4"/>
  <c r="W10" i="4"/>
  <c r="W9" i="4"/>
  <c r="W8" i="4"/>
  <c r="S8" i="4"/>
  <c r="Q8" i="4"/>
  <c r="N8" i="4"/>
  <c r="P6" i="4"/>
  <c r="P5" i="4"/>
  <c r="N5" i="4"/>
  <c r="C27" i="4"/>
  <c r="C26" i="4"/>
  <c r="C24" i="4"/>
  <c r="C23" i="4"/>
  <c r="C21" i="4"/>
  <c r="C20" i="4"/>
  <c r="G18" i="4"/>
  <c r="C18" i="4"/>
  <c r="G17" i="4"/>
  <c r="C17" i="4"/>
  <c r="G16" i="4"/>
  <c r="C16" i="4"/>
  <c r="G12" i="4"/>
  <c r="C12" i="4"/>
  <c r="C11" i="4"/>
  <c r="D9" i="4"/>
  <c r="D7" i="4"/>
  <c r="D8" i="4"/>
  <c r="D6" i="4"/>
  <c r="E4" i="4"/>
  <c r="AE1" i="4"/>
  <c r="A56" i="5" l="1"/>
  <c r="E56" i="5"/>
  <c r="J56" i="5"/>
  <c r="E53" i="5"/>
  <c r="E52" i="5"/>
  <c r="E51" i="5"/>
  <c r="C54" i="5"/>
  <c r="Q23" i="5"/>
  <c r="O23" i="5"/>
  <c r="G32" i="5"/>
  <c r="G31" i="5"/>
  <c r="G30" i="5"/>
  <c r="C34" i="5"/>
  <c r="C33" i="5"/>
  <c r="C32" i="5"/>
  <c r="C31" i="5"/>
  <c r="C30" i="5"/>
  <c r="B29" i="5"/>
  <c r="B11" i="5"/>
  <c r="B7" i="5"/>
  <c r="B6" i="5"/>
  <c r="B4" i="5"/>
  <c r="R23" i="5" l="1"/>
  <c r="G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Ruede Thomas</author>
  </authors>
  <commentList>
    <comment ref="G7" authorId="0" shapeId="0" xr:uid="{00000000-0006-0000-0800-000001000000}">
      <text>
        <r>
          <rPr>
            <b/>
            <sz val="9"/>
            <color indexed="81"/>
            <rFont val="Segoe UI"/>
            <family val="2"/>
          </rPr>
          <t>Ruede Thomas:</t>
        </r>
        <r>
          <rPr>
            <sz val="9"/>
            <color indexed="81"/>
            <rFont val="Segoe UI"/>
            <family val="2"/>
          </rPr>
          <t xml:space="preserve">
Preis aus blauer Spalte auf CHF 0.05 gerundet.</t>
        </r>
      </text>
    </comment>
  </commentList>
</comments>
</file>

<file path=xl/sharedStrings.xml><?xml version="1.0" encoding="utf-8"?>
<sst xmlns="http://schemas.openxmlformats.org/spreadsheetml/2006/main" count="7019" uniqueCount="4371">
  <si>
    <t>Deutsch</t>
  </si>
  <si>
    <t>English</t>
  </si>
  <si>
    <t>français</t>
  </si>
  <si>
    <t>italiano</t>
  </si>
  <si>
    <t>český</t>
  </si>
  <si>
    <t>polski</t>
  </si>
  <si>
    <t>magyar</t>
  </si>
  <si>
    <t>slovenský</t>
  </si>
  <si>
    <t>Nederlands</t>
  </si>
  <si>
    <t>Slovenski</t>
  </si>
  <si>
    <t>svenska</t>
  </si>
  <si>
    <t>dansk</t>
  </si>
  <si>
    <t>norsk</t>
  </si>
  <si>
    <t>hrvatski</t>
  </si>
  <si>
    <t>_DEUTSCH</t>
  </si>
  <si>
    <t>_ENGLISCH</t>
  </si>
  <si>
    <t>_FRANZÖSISCH</t>
  </si>
  <si>
    <t>_ITALIENISCH</t>
  </si>
  <si>
    <t>_Tschechisch</t>
  </si>
  <si>
    <t>_Polnisch</t>
  </si>
  <si>
    <t>_Ungarisch</t>
  </si>
  <si>
    <t>_Slowakisch</t>
  </si>
  <si>
    <t>_Niederländisch</t>
  </si>
  <si>
    <t>_Slovenisch</t>
  </si>
  <si>
    <t>_Schwedisch</t>
  </si>
  <si>
    <t>_Dänisch</t>
  </si>
  <si>
    <t>_Norwegisch</t>
  </si>
  <si>
    <t>_Kroatisch</t>
  </si>
  <si>
    <t>[EH]</t>
  </si>
  <si>
    <t>[U]</t>
  </si>
  <si>
    <t>[j.m.]</t>
  </si>
  <si>
    <t>[eenheid]</t>
  </si>
  <si>
    <r>
      <rPr>
        <sz val="11"/>
        <color theme="1"/>
        <rFont val="Calibri"/>
        <family val="2"/>
        <scheme val="minor"/>
      </rPr>
      <t>[VV]</t>
    </r>
  </si>
  <si>
    <t>[Enh.]</t>
  </si>
  <si>
    <t>[Enhed]</t>
  </si>
  <si>
    <t>[L] Innenlichte</t>
  </si>
  <si>
    <t>[L] interior lights</t>
  </si>
  <si>
    <t>[L] luce netta</t>
  </si>
  <si>
    <t>[L] wymiar wewnętrzny w świetle</t>
  </si>
  <si>
    <t>[dm] dagmaat</t>
  </si>
  <si>
    <r>
      <rPr>
        <sz val="11"/>
        <color theme="1"/>
        <rFont val="Calibri"/>
        <family val="2"/>
        <scheme val="minor"/>
      </rPr>
      <t>[L] notranja odprtina</t>
    </r>
  </si>
  <si>
    <t>[L] Inre öppning</t>
  </si>
  <si>
    <t>[L] Indvendigt lys</t>
  </si>
  <si>
    <t>[L] Taklys</t>
  </si>
  <si>
    <t>[L] Unutrašnja širina</t>
  </si>
  <si>
    <t>[lfm]</t>
  </si>
  <si>
    <t>[rm]</t>
  </si>
  <si>
    <t>[m]</t>
  </si>
  <si>
    <t>[mb]</t>
  </si>
  <si>
    <t>[strekkende meter]</t>
  </si>
  <si>
    <r>
      <rPr>
        <sz val="11"/>
        <color theme="1"/>
        <rFont val="Calibri"/>
        <family val="2"/>
        <scheme val="minor"/>
      </rPr>
      <t>[tm]</t>
    </r>
  </si>
  <si>
    <t>[löpm]</t>
  </si>
  <si>
    <t>[løb. meter]</t>
  </si>
  <si>
    <t>[lm]</t>
  </si>
  <si>
    <t>[d/m]</t>
  </si>
  <si>
    <r>
      <rPr>
        <sz val="11"/>
        <color theme="1"/>
        <rFont val="Calibri"/>
        <family val="2"/>
        <scheme val="minor"/>
      </rPr>
      <t>[m]</t>
    </r>
  </si>
  <si>
    <t>[mm]</t>
  </si>
  <si>
    <r>
      <rPr>
        <sz val="11"/>
        <color theme="1"/>
        <rFont val="Calibri"/>
        <family val="2"/>
        <scheme val="minor"/>
      </rPr>
      <t>[mm]</t>
    </r>
  </si>
  <si>
    <t>[Stk]</t>
  </si>
  <si>
    <t>[pcs]</t>
  </si>
  <si>
    <t>[pc.]</t>
  </si>
  <si>
    <t>[pz]</t>
  </si>
  <si>
    <t>[szt.]</t>
  </si>
  <si>
    <t>[stuks]</t>
  </si>
  <si>
    <r>
      <rPr>
        <sz val="11"/>
        <color theme="1"/>
        <rFont val="Calibri"/>
        <family val="2"/>
        <scheme val="minor"/>
      </rPr>
      <t>[kos]</t>
    </r>
  </si>
  <si>
    <t>[st]</t>
  </si>
  <si>
    <t>[Stk.]</t>
  </si>
  <si>
    <t>[stk.]</t>
  </si>
  <si>
    <t>[kom]</t>
  </si>
  <si>
    <t>25/200mm</t>
  </si>
  <si>
    <t>25/200 mm</t>
  </si>
  <si>
    <t>25/200 mm</t>
  </si>
  <si>
    <r>
      <rPr>
        <sz val="11"/>
        <color theme="1"/>
        <rFont val="Calibri"/>
        <family val="2"/>
        <scheme val="minor"/>
      </rPr>
      <t>25/200 mm</t>
    </r>
  </si>
  <si>
    <t>50/150mm</t>
  </si>
  <si>
    <t>50/150 mm</t>
  </si>
  <si>
    <t>50/150 mm</t>
  </si>
  <si>
    <r>
      <rPr>
        <sz val="11"/>
        <color theme="1"/>
        <rFont val="Calibri"/>
        <family val="2"/>
        <scheme val="minor"/>
      </rPr>
      <t>50/150 mm</t>
    </r>
  </si>
  <si>
    <t>50/200mm</t>
  </si>
  <si>
    <t>50/200 mm</t>
  </si>
  <si>
    <t>50/200 mm</t>
  </si>
  <si>
    <r>
      <rPr>
        <sz val="11"/>
        <color theme="1"/>
        <rFont val="Calibri"/>
        <family val="2"/>
        <scheme val="minor"/>
      </rPr>
      <t>50/200 mm</t>
    </r>
  </si>
  <si>
    <t>80/200mm</t>
  </si>
  <si>
    <t>80/200 mm</t>
  </si>
  <si>
    <t>80/200 mm</t>
  </si>
  <si>
    <r>
      <rPr>
        <sz val="11"/>
        <color theme="1"/>
        <rFont val="Calibri"/>
        <family val="2"/>
        <scheme val="minor"/>
      </rPr>
      <t>80/200 mm</t>
    </r>
  </si>
  <si>
    <t>Abdeckung</t>
  </si>
  <si>
    <t>Cover</t>
  </si>
  <si>
    <t>Osłona</t>
  </si>
  <si>
    <t>Takaróelem</t>
  </si>
  <si>
    <t>Afdekking</t>
  </si>
  <si>
    <r>
      <rPr>
        <sz val="11"/>
        <color theme="1"/>
        <rFont val="Calibri"/>
        <family val="2"/>
        <scheme val="minor"/>
      </rPr>
      <t>Pokrov</t>
    </r>
  </si>
  <si>
    <t>Täckplåt</t>
  </si>
  <si>
    <t>Afdækning</t>
  </si>
  <si>
    <t>TILDEKKING</t>
  </si>
  <si>
    <t>Pokrov</t>
  </si>
  <si>
    <t>Abdeckung V 25, gebohrt und entgratet</t>
  </si>
  <si>
    <t>Cover V 25, drilled and deburred</t>
  </si>
  <si>
    <t>Osłona V 25, nawiercona i okrawana</t>
  </si>
  <si>
    <t>Takaróelem V 25, furatolt és sorjázott</t>
  </si>
  <si>
    <t>Afdekking V 25, geboord en afgebraamd</t>
  </si>
  <si>
    <r>
      <rPr>
        <sz val="11"/>
        <rFont val="Calibri"/>
        <family val="2"/>
        <scheme val="minor"/>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</si>
  <si>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</si>
  <si>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</si>
  <si>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</si>
  <si>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</si>
  <si>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</si>
  <si>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</si>
  <si>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Osłona V 50, nawiercona i okrawana</t>
  </si>
  <si>
    <t>Takaróelem V 50, furatolt és sorjázott</t>
  </si>
  <si>
    <t>Afdekking V 50, geboord en afgebraamd</t>
  </si>
  <si>
    <r>
      <rPr>
        <sz val="11"/>
        <rFont val="Calibri"/>
        <family val="2"/>
        <scheme val="minor"/>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</si>
  <si>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</si>
  <si>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</si>
  <si>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</si>
  <si>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</si>
  <si>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</si>
  <si>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</si>
  <si>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Osłona V 80, nawiercona i okrawana</t>
  </si>
  <si>
    <t>Takaróelem V 80, furatolt és sorjázott</t>
  </si>
  <si>
    <t>Afdekking V 80, geboord en afgebraamd</t>
  </si>
  <si>
    <r>
      <rPr>
        <sz val="11"/>
        <rFont val="Calibri"/>
        <family val="2"/>
        <scheme val="minor"/>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</si>
  <si>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</si>
  <si>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</si>
  <si>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</si>
  <si>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</si>
  <si>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</si>
  <si>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</si>
  <si>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Osłona VO 25, nawiercona i okrawana</t>
  </si>
  <si>
    <t>Takaróelem VO 25, furatolt és sorjázott</t>
  </si>
  <si>
    <t>Afdekking VO 25, geboord en afgebraamd</t>
  </si>
  <si>
    <r>
      <rPr>
        <sz val="11"/>
        <rFont val="Calibri"/>
        <family val="2"/>
        <scheme val="minor"/>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</si>
  <si>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</si>
  <si>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</si>
  <si>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</si>
  <si>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</si>
  <si>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</si>
  <si>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</si>
  <si>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Osłona VO 50, nawiercona i okrawana</t>
  </si>
  <si>
    <t>Takaróelem VO 50, furatolt és sorjázott</t>
  </si>
  <si>
    <t>Afdekking VO 50, geboord en afgebraamd</t>
  </si>
  <si>
    <r>
      <rPr>
        <sz val="11"/>
        <rFont val="Calibri"/>
        <family val="2"/>
        <scheme val="minor"/>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</si>
  <si>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</si>
  <si>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</si>
  <si>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</si>
  <si>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</si>
  <si>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</si>
  <si>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</si>
  <si>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Osłona VO 80, nawiercona i okrawana</t>
  </si>
  <si>
    <t>Takaróelem VO 80, furatolt és sorjázott</t>
  </si>
  <si>
    <t>Afdekking VO 80, geboord en afgebraamd</t>
  </si>
  <si>
    <r>
      <rPr>
        <sz val="11"/>
        <rFont val="Calibri"/>
        <family val="2"/>
        <scheme val="minor"/>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</si>
  <si>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</si>
  <si>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</si>
  <si>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</si>
  <si>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</si>
  <si>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</si>
  <si>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</si>
  <si>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3 000 mm</t>
  </si>
  <si>
    <t>attenzione, lunghezza max per elementi verniciati 3000mm</t>
  </si>
  <si>
    <t>Uwaga: Maksymalna długość elementu lakierowanego 3000 mm</t>
  </si>
  <si>
    <t>Figyelem! A porszórt elemek maximális hossza 3000mm</t>
  </si>
  <si>
    <t>Let op! Maximale lengte bij coating 3000 mm</t>
  </si>
  <si>
    <r>
      <rPr>
        <sz val="11"/>
        <color theme="1"/>
        <rFont val="Calibri"/>
        <family val="2"/>
        <scheme val="minor"/>
      </rPr>
      <t>Pozor! Največja dolžina pri prevleki 3.000 mm</t>
    </r>
  </si>
  <si>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</si>
  <si>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</si>
  <si>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</si>
  <si>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</si>
  <si>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</si>
  <si>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</si>
  <si>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</si>
  <si>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UWAGA: wybrano zbyt dużo profili okrągłych</t>
  </si>
  <si>
    <t>FIGYELEM: túl sok körprofilt választott</t>
  </si>
  <si>
    <t>LET OP: te veel rondprofielen geselecteerd</t>
  </si>
  <si>
    <r>
      <rPr>
        <sz val="11"/>
        <color theme="1"/>
        <rFont val="Calibri"/>
        <family val="2"/>
        <scheme val="minor"/>
      </rPr>
      <t>POZOR: izbranih je preveč okroglih profilov</t>
    </r>
  </si>
  <si>
    <t>Observera: För många rundprofiler har valts</t>
  </si>
  <si>
    <t>OBS! For mange runde profiler er valgt</t>
  </si>
  <si>
    <t>ADVARSEL: for mange rundprofiler valgt</t>
  </si>
  <si>
    <t>POZOR: odabrano previše okruglih profila</t>
  </si>
  <si>
    <t>Aluminium</t>
  </si>
  <si>
    <t>alluminio</t>
  </si>
  <si>
    <t>Alumínium</t>
  </si>
  <si>
    <r>
      <rPr>
        <sz val="11"/>
        <color theme="1"/>
        <rFont val="Calibri"/>
        <family val="2"/>
        <scheme val="minor"/>
      </rPr>
      <t>Aluminij</t>
    </r>
  </si>
  <si>
    <t>Aluminij</t>
  </si>
  <si>
    <t>Kontaktperson:</t>
  </si>
  <si>
    <t>Anströmwinkel [°]:</t>
  </si>
  <si>
    <t>Inflow angle [°]:</t>
  </si>
  <si>
    <t>Angle d’incidence [°] :</t>
  </si>
  <si>
    <t>Kąt padania [°]:</t>
  </si>
  <si>
    <t>Beesési szög [°]:</t>
  </si>
  <si>
    <t>Invalshoek [°]:</t>
  </si>
  <si>
    <r>
      <rPr>
        <sz val="11"/>
        <color theme="1"/>
        <rFont val="Calibri"/>
        <family val="2"/>
        <scheme val="minor"/>
      </rPr>
      <t>Vpadni kot [°]:</t>
    </r>
  </si>
  <si>
    <t>Infallsvinkel [°]:</t>
  </si>
  <si>
    <t>Indstrømningsvinkel [°]:</t>
  </si>
  <si>
    <t>Tilstrømmingsvinkel [°]:</t>
  </si>
  <si>
    <t>Kut pritjecanja [°]:</t>
  </si>
  <si>
    <t>Anwendungstechnik</t>
  </si>
  <si>
    <t>Service technique</t>
  </si>
  <si>
    <t>ufficio tecnico</t>
  </si>
  <si>
    <t>Technika zastosowania</t>
  </si>
  <si>
    <t>Alkalmazástechnika</t>
  </si>
  <si>
    <t>Toepassingstechniek</t>
  </si>
  <si>
    <r>
      <rPr>
        <sz val="11"/>
        <color theme="1"/>
        <rFont val="Calibri"/>
        <family val="2"/>
        <scheme val="minor"/>
      </rPr>
      <t>Tehnika uporabe</t>
    </r>
  </si>
  <si>
    <t>Tillämpningsteknik</t>
  </si>
  <si>
    <t>Bruksteknikk</t>
  </si>
  <si>
    <t>Primijenjena tehnika</t>
  </si>
  <si>
    <t>Anzahl der Felder:</t>
  </si>
  <si>
    <t>Number of fields:</t>
  </si>
  <si>
    <t>Nombre de travées :</t>
  </si>
  <si>
    <t>numero campate:</t>
  </si>
  <si>
    <t>Liczba przęłseł:</t>
  </si>
  <si>
    <t>Mezők száma:</t>
  </si>
  <si>
    <t>Aantal velden:</t>
  </si>
  <si>
    <r>
      <rPr>
        <sz val="11"/>
        <color theme="1"/>
        <rFont val="Calibri"/>
        <family val="2"/>
        <scheme val="minor"/>
      </rPr>
      <t>Število polj:</t>
    </r>
  </si>
  <si>
    <t>Antal fält:</t>
  </si>
  <si>
    <t>Antal felter:</t>
  </si>
  <si>
    <t>Antall felter:</t>
  </si>
  <si>
    <t>Broj polja:</t>
  </si>
  <si>
    <t>Anzahl der gleichen Systeme:</t>
  </si>
  <si>
    <t>Number of the same systems:</t>
  </si>
  <si>
    <t>Nombre de systèmes identiques :</t>
  </si>
  <si>
    <t>numero campate uguali:</t>
  </si>
  <si>
    <t>Liczba identycznych systemów:</t>
  </si>
  <si>
    <t>Azonos rendszerek száma:</t>
  </si>
  <si>
    <t>Aantal gelijke systemen:</t>
  </si>
  <si>
    <r>
      <rPr>
        <sz val="11"/>
        <color theme="1"/>
        <rFont val="Calibri"/>
        <family val="2"/>
        <scheme val="minor"/>
      </rPr>
      <t>Število enakih sistemov:</t>
    </r>
  </si>
  <si>
    <t>Antal identiska system:</t>
  </si>
  <si>
    <t>Antal tilsvarende systemer:</t>
  </si>
  <si>
    <t>Antall like systemer:</t>
  </si>
  <si>
    <t>Broj istih sustava:</t>
  </si>
  <si>
    <t>Artikel Nr.</t>
  </si>
  <si>
    <t>Item no</t>
  </si>
  <si>
    <t>Référence</t>
  </si>
  <si>
    <t>numero articolo</t>
  </si>
  <si>
    <t>Nr artykułu</t>
  </si>
  <si>
    <t>Cikkszám</t>
  </si>
  <si>
    <t>Artikelnr.</t>
  </si>
  <si>
    <r>
      <rPr>
        <sz val="11"/>
        <color theme="1"/>
        <rFont val="Calibri"/>
        <family val="2"/>
        <scheme val="minor"/>
      </rPr>
      <t>Št. artikla</t>
    </r>
  </si>
  <si>
    <t>Artikelnr</t>
  </si>
  <si>
    <t>Varenr.</t>
  </si>
  <si>
    <t>Artikkelnr.</t>
  </si>
  <si>
    <t>Br. artikla</t>
  </si>
  <si>
    <t>Surcharge for groove milling of side sections for stop logs</t>
  </si>
  <si>
    <t>Supplément pour fraisage des parties latérales des batardeaux</t>
  </si>
  <si>
    <t>sovrapprezzo per fresatura montanti laterali</t>
  </si>
  <si>
    <t>Dopłata za frezowanie części bocznych belek zaporowych</t>
  </si>
  <si>
    <t>Oldalsó elemek kimarásának felára</t>
  </si>
  <si>
    <t>Toeslag uitfrezen zijdelen voor Dambalk</t>
  </si>
  <si>
    <r>
      <rPr>
        <sz val="11"/>
        <color theme="1"/>
        <rFont val="Calibri"/>
        <family val="2"/>
        <scheme val="minor"/>
      </rPr>
      <t>Doplačilo za izrez stranskih delov za zajezitvene lamele</t>
    </r>
  </si>
  <si>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</si>
  <si>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</si>
  <si>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</si>
  <si>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</si>
  <si>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</si>
  <si>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</si>
  <si>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</si>
  <si>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Dopłata za zmianę długości profili ściennych</t>
  </si>
  <si>
    <t>Oldalsó elemek hosszméret-módosításának felára</t>
  </si>
  <si>
    <t>Toeslag lengtewijziging zijdelen</t>
  </si>
  <si>
    <r>
      <rPr>
        <sz val="11"/>
        <color theme="1"/>
        <rFont val="Calibri"/>
        <family val="2"/>
        <scheme val="minor"/>
      </rPr>
      <t>Doplačilo za spremembo dolžine stranskih delov</t>
    </r>
  </si>
  <si>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</si>
  <si>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</si>
  <si>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</si>
  <si>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</si>
  <si>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</si>
  <si>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</si>
  <si>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</si>
  <si>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</si>
  <si>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Dopłata godzinna za projektowanie</t>
  </si>
  <si>
    <t>Tervezési óra felára</t>
  </si>
  <si>
    <t>Toeslag planning (per uur)</t>
  </si>
  <si>
    <r>
      <rPr>
        <sz val="11"/>
        <color theme="1"/>
        <rFont val="Calibri"/>
        <family val="2"/>
        <scheme val="minor"/>
      </rPr>
      <t>Doplačilo za uro načrtovanja</t>
    </r>
  </si>
  <si>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</si>
  <si>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</si>
  <si>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</si>
  <si>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</si>
  <si>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</si>
  <si>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</si>
  <si>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</si>
  <si>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</si>
  <si>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Dopłata za zakotwienie spawane (za 300 mm)</t>
  </si>
  <si>
    <t>Hegesztett lehorgonyzóelem felára (á 300mm)</t>
  </si>
  <si>
    <t>Toeslag verankering vastgelast (300 mm)</t>
  </si>
  <si>
    <r>
      <rPr>
        <sz val="11"/>
        <rFont val="Calibri"/>
        <family val="2"/>
        <scheme val="minor"/>
      </rPr>
      <t>Doplačilo za varjenje sider (na 300 mm)</t>
    </r>
  </si>
  <si>
    <t>Pristillägg svetsad förankring (300 mm)</t>
  </si>
  <si>
    <t>Tillæg for påsvejset forankring (hver 300 mm)</t>
  </si>
  <si>
    <t>Pristillegg påsveiset forankring (300 mm)</t>
  </si>
  <si>
    <t>Doplata za navareno usidrenje (300mm)</t>
  </si>
  <si>
    <t>Surcharge for side sections for stop logs</t>
  </si>
  <si>
    <t>Fraisage des parties latérales des batardeaux</t>
  </si>
  <si>
    <t>fresatura sulle sponde</t>
  </si>
  <si>
    <t>Frezowanie części bocznych belek zapór</t>
  </si>
  <si>
    <t>Oldalsó elemek kimarása gátgerendához</t>
  </si>
  <si>
    <t>Uitfrezen zijdelen voor SP</t>
  </si>
  <si>
    <r>
      <rPr>
        <sz val="11"/>
        <color theme="1"/>
        <rFont val="Calibri"/>
        <family val="2"/>
        <scheme val="minor"/>
      </rPr>
      <t>Izrez stranskih delov za zajezitveni prečnik</t>
    </r>
  </si>
  <si>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</si>
  <si>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</si>
  <si>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</si>
  <si>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</si>
  <si>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</si>
  <si>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</si>
  <si>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</si>
  <si>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</si>
  <si>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Sposób wykonania</t>
  </si>
  <si>
    <t>Kialakítás</t>
  </si>
  <si>
    <t>Uitvoeringswijze</t>
  </si>
  <si>
    <r>
      <rPr>
        <sz val="11"/>
        <color theme="1"/>
        <rFont val="Calibri"/>
        <family val="2"/>
        <scheme val="minor"/>
      </rPr>
      <t>Vrsta izvedbe</t>
    </r>
  </si>
  <si>
    <t>Konstruktionstyp</t>
  </si>
  <si>
    <t>Arten af udførelsen</t>
  </si>
  <si>
    <t>Utførelsesmåte</t>
  </si>
  <si>
    <t>Način izvedbe</t>
  </si>
  <si>
    <t>Bei System 25 nur 1 Feld möglich!</t>
  </si>
  <si>
    <t>Only 1 field possible for system 25!</t>
  </si>
  <si>
    <t>Une seule travée possible pour le système 25 !</t>
  </si>
  <si>
    <t>con il sistema 25 è realizzabile solamente la campata singola!</t>
  </si>
  <si>
    <t>Przy systemie 25 możliwe tylko jedno pole!</t>
  </si>
  <si>
    <t>25-s rendszernél csak 1 mező lehetséges!</t>
  </si>
  <si>
    <t>Bij systeem 25 slechts 1 veld mogelijk!</t>
  </si>
  <si>
    <r>
      <rPr>
        <sz val="11"/>
        <color theme="1"/>
        <rFont val="Calibri"/>
        <family val="2"/>
        <scheme val="minor"/>
      </rPr>
      <t>Pri sistemu 25 je mogoče le 1 polje!</t>
    </r>
  </si>
  <si>
    <t>Med system 25 är bara 1 fält möjligt!</t>
  </si>
  <si>
    <t>Med system 25 er kun 1 felt muligt!</t>
  </si>
  <si>
    <t>Ved system 25 kun 1 felt mulig!</t>
  </si>
  <si>
    <t>Za sustav 25 moguće samo 1 polje!</t>
  </si>
  <si>
    <t>beschichtet</t>
  </si>
  <si>
    <t>Coated</t>
  </si>
  <si>
    <t>verniciato</t>
  </si>
  <si>
    <t>powlekany</t>
  </si>
  <si>
    <t>Bevonatos</t>
  </si>
  <si>
    <t>Gecoat</t>
  </si>
  <si>
    <r>
      <rPr>
        <sz val="11"/>
        <color theme="1"/>
        <rFont val="Calibri"/>
        <family val="2"/>
        <scheme val="minor"/>
      </rPr>
      <t>prevlečeno</t>
    </r>
  </si>
  <si>
    <t>Belagd</t>
  </si>
  <si>
    <t>Beklædt</t>
  </si>
  <si>
    <t>Med belegg</t>
  </si>
  <si>
    <t>plastificirano</t>
  </si>
  <si>
    <t>Beschichtung</t>
  </si>
  <si>
    <t>Coating</t>
  </si>
  <si>
    <t>verniciatura</t>
  </si>
  <si>
    <t>powłoka</t>
  </si>
  <si>
    <t xml:space="preserve">Bevonat  </t>
  </si>
  <si>
    <r>
      <rPr>
        <sz val="11"/>
        <color theme="1"/>
        <rFont val="Calibri"/>
        <family val="2"/>
        <scheme val="minor"/>
      </rPr>
      <t>Prevleka</t>
    </r>
  </si>
  <si>
    <t>Beläggning</t>
  </si>
  <si>
    <t>Beklædning</t>
  </si>
  <si>
    <t>Belegg</t>
  </si>
  <si>
    <t>Plastifikacija</t>
  </si>
  <si>
    <t>Bestellung</t>
  </si>
  <si>
    <t>Order</t>
  </si>
  <si>
    <t>Commande</t>
  </si>
  <si>
    <t>ordine</t>
  </si>
  <si>
    <t>Zamówienie</t>
  </si>
  <si>
    <t>Megrendelés</t>
  </si>
  <si>
    <t>Bestelling</t>
  </si>
  <si>
    <r>
      <rPr>
        <sz val="11"/>
        <color theme="1"/>
        <rFont val="Calibri"/>
        <family val="2"/>
        <scheme val="minor"/>
      </rPr>
      <t>Naročilo</t>
    </r>
  </si>
  <si>
    <t>Beställning</t>
  </si>
  <si>
    <t>Bestilling</t>
  </si>
  <si>
    <t>Narudžba</t>
  </si>
  <si>
    <t>Bezeichnung</t>
  </si>
  <si>
    <t>Désignation</t>
  </si>
  <si>
    <t>descrizione</t>
  </si>
  <si>
    <t>Oznaczenie</t>
  </si>
  <si>
    <t>Megnevezés</t>
  </si>
  <si>
    <t>Omschrijving</t>
  </si>
  <si>
    <r>
      <rPr>
        <sz val="11"/>
        <color theme="1"/>
        <rFont val="Calibri"/>
        <family val="2"/>
        <scheme val="minor"/>
      </rPr>
      <t>Ime</t>
    </r>
  </si>
  <si>
    <t>Beteckning</t>
  </si>
  <si>
    <t>Betegnelse</t>
  </si>
  <si>
    <t>Oznaka</t>
  </si>
  <si>
    <t>Bitte wählen</t>
  </si>
  <si>
    <t>Please select</t>
  </si>
  <si>
    <t>scegliere per favore</t>
  </si>
  <si>
    <t>Proszę wybrać</t>
  </si>
  <si>
    <t>Kérjük, válasszon</t>
  </si>
  <si>
    <t>Selecteer</t>
  </si>
  <si>
    <r>
      <rPr>
        <sz val="11"/>
        <color theme="1"/>
        <rFont val="Calibri"/>
        <family val="2"/>
        <scheme val="minor"/>
      </rPr>
      <t>Izberite</t>
    </r>
  </si>
  <si>
    <t>Välj</t>
  </si>
  <si>
    <t>Vælg venligst</t>
  </si>
  <si>
    <t>Vennligst velg</t>
  </si>
  <si>
    <t>Molimo odabrati</t>
  </si>
  <si>
    <t>blank</t>
  </si>
  <si>
    <t>alluminio naturale</t>
  </si>
  <si>
    <t>naturalny</t>
  </si>
  <si>
    <t>Natúr alumínium</t>
  </si>
  <si>
    <t>Blank</t>
  </si>
  <si>
    <r>
      <rPr>
        <sz val="11"/>
        <color theme="1"/>
        <rFont val="Calibri"/>
        <family val="2"/>
        <scheme val="minor"/>
      </rPr>
      <t>prazno</t>
    </r>
  </si>
  <si>
    <t>Blank / Blankt</t>
  </si>
  <si>
    <t>prirodni aluminij</t>
  </si>
  <si>
    <t>Bodendichtung 25</t>
  </si>
  <si>
    <t>Ground seal 25</t>
  </si>
  <si>
    <t>guarnizione a pavimento 25</t>
  </si>
  <si>
    <t>Uszczelmienie dolne 25</t>
  </si>
  <si>
    <t>Talajtömítés 25</t>
  </si>
  <si>
    <t>Bodemafdichting 25</t>
  </si>
  <si>
    <r>
      <rPr>
        <sz val="11"/>
        <color theme="1"/>
        <rFont val="Calibri"/>
        <family val="2"/>
        <scheme val="minor"/>
      </rPr>
      <t>Talno tesnilo 25</t>
    </r>
  </si>
  <si>
    <t>GOLVTÄTNING 25</t>
  </si>
  <si>
    <t>Bundtætning 25</t>
  </si>
  <si>
    <t>Bunntetning 25</t>
  </si>
  <si>
    <t>Brtvljenje prema tlu 25</t>
  </si>
  <si>
    <t>Bodendichtung 50</t>
  </si>
  <si>
    <t>Ground seal 50</t>
  </si>
  <si>
    <t>guarnizione a pavimento 50</t>
  </si>
  <si>
    <t>Uszczelmienie dolne 50</t>
  </si>
  <si>
    <t>Talajtömítés 50</t>
  </si>
  <si>
    <t>Bodemafdichting 50</t>
  </si>
  <si>
    <r>
      <rPr>
        <sz val="11"/>
        <color theme="1"/>
        <rFont val="Calibri"/>
        <family val="2"/>
        <scheme val="minor"/>
      </rPr>
      <t>Talno tesnilo 50</t>
    </r>
  </si>
  <si>
    <t>GOLVTÄTNING 50</t>
  </si>
  <si>
    <t>Bundtætning 50</t>
  </si>
  <si>
    <t>Bunntetning 50</t>
  </si>
  <si>
    <t>Brtvljenje prema tlu 50</t>
  </si>
  <si>
    <t>Bodendichtung 80</t>
  </si>
  <si>
    <t>Ground seal 80</t>
  </si>
  <si>
    <t>guarnizione a pavimento 80</t>
  </si>
  <si>
    <t>Uszczelmienie dolne 80</t>
  </si>
  <si>
    <t>Talajtömítés 80</t>
  </si>
  <si>
    <t>Bodemafdichting 80</t>
  </si>
  <si>
    <r>
      <rPr>
        <sz val="11"/>
        <color theme="1"/>
        <rFont val="Calibri"/>
        <family val="2"/>
        <scheme val="minor"/>
      </rPr>
      <t>Talno tesnilo 80</t>
    </r>
  </si>
  <si>
    <t>GOLVTÄTNING 80</t>
  </si>
  <si>
    <t>Bundtætning 80</t>
  </si>
  <si>
    <t>Bunntetning 80</t>
  </si>
  <si>
    <t>Brtvljenje prema tlu 80</t>
  </si>
  <si>
    <t>Bodenhülse</t>
  </si>
  <si>
    <t>Ground sleeve</t>
  </si>
  <si>
    <t>piantone</t>
  </si>
  <si>
    <t>Tuleja do mocowania kolumny</t>
  </si>
  <si>
    <t xml:space="preserve">Padlóhüvely  </t>
  </si>
  <si>
    <t>Bodemhuls</t>
  </si>
  <si>
    <r>
      <rPr>
        <sz val="11"/>
        <color theme="1"/>
        <rFont val="Calibri"/>
        <family val="2"/>
        <scheme val="minor"/>
      </rPr>
      <t>Talna puša</t>
    </r>
  </si>
  <si>
    <t>Markhylsa</t>
  </si>
  <si>
    <t>Bundmuffe</t>
  </si>
  <si>
    <t>JORDANKER</t>
  </si>
  <si>
    <t>Podna čaška</t>
  </si>
  <si>
    <t>Ground sleeve 50/80 aluminium-coated incl. cover with seal</t>
  </si>
  <si>
    <t>piantone 50/80 alluminio verniciato, compreso coperchio con guarnizione</t>
  </si>
  <si>
    <t>Tuleja 50/80 do mocowania kolumny, aluminum powlekane z deklem i uszczelnieniem</t>
  </si>
  <si>
    <t xml:space="preserve">Padlóhüvely 50/80 bevonatos alumínium, tömített fedéllel  </t>
  </si>
  <si>
    <t>Bodemhuls 50/80 aluminium coating incl. deksel met afdichting</t>
  </si>
  <si>
    <r>
      <rPr>
        <sz val="11"/>
        <color theme="1"/>
        <rFont val="Calibri"/>
        <family val="2"/>
        <scheme val="minor"/>
      </rPr>
      <t>Talna puša 50/80, prevlečeni aluminij, vključno s pokrovom in tesnilom</t>
    </r>
  </si>
  <si>
    <r>
      <t>Markhylsa 50/80 aluminiu</t>
    </r>
    <r>
      <rPr>
        <sz val="11"/>
        <rFont val="Calibri"/>
        <family val="2"/>
        <scheme val="minor"/>
      </rPr>
      <t>m, ytbehandlad</t>
    </r>
    <r>
      <rPr>
        <sz val="11"/>
        <color theme="1"/>
        <rFont val="Calibri"/>
        <family val="2"/>
        <scheme val="minor"/>
      </rPr>
      <t>, inkl. lock med tätning</t>
    </r>
  </si>
  <si>
    <t>Bundmuffe 50/80 aluminiumbeklædt, inkl. dæksel med tætning</t>
  </si>
  <si>
    <t>JORDANKER 50/80 aluminium med belegg inkl. lokk med tetning</t>
  </si>
  <si>
    <t>Podna čaška 50/80 plastificirani aluminij uklj. poklopac s brtvom</t>
  </si>
  <si>
    <t>Ground sleeve 50/80 stainless steel-coated incl. cover with seal</t>
  </si>
  <si>
    <t>piantone 50/80 acciaio inox verniciato, compreso coperchio con guarnizione</t>
  </si>
  <si>
    <t>Tuleja 50/80 do mocowania kolumny, stal nierdzewna powlekana z deklem i uszczelnieniem</t>
  </si>
  <si>
    <t xml:space="preserve">Padlóhüvely 50/80 rozsdamentes acél, tömített fedéllel  </t>
  </si>
  <si>
    <t>Bodemhuls 50/80 rvs coating incl. deksel met afdichting</t>
  </si>
  <si>
    <r>
      <rPr>
        <sz val="11"/>
        <color theme="1"/>
        <rFont val="Calibri"/>
        <family val="2"/>
        <scheme val="minor"/>
      </rPr>
      <t>Talna puša 50/80, prevlečeno nerjavno jeklo, vključno s pokrovom in tesnilom</t>
    </r>
  </si>
  <si>
    <r>
      <t xml:space="preserve">Markhylsa 50/80 rostfritt stål, </t>
    </r>
    <r>
      <rPr>
        <sz val="11"/>
        <rFont val="Calibri"/>
        <family val="2"/>
        <scheme val="minor"/>
      </rPr>
      <t>ytbehandlad</t>
    </r>
    <r>
      <rPr>
        <sz val="11"/>
        <color theme="1"/>
        <rFont val="Calibri"/>
        <family val="2"/>
        <scheme val="minor"/>
      </rPr>
      <t>, inkl. lock med tätning</t>
    </r>
  </si>
  <si>
    <t>Bundmuffe 50/80 beklædt med rustfrit stål, inkl. dæksel med tætning</t>
  </si>
  <si>
    <t>JORDANKER 50/80 rustfritt stål med belegg inkl. lokk med tetning</t>
  </si>
  <si>
    <t>Podna čaška 50/80 plastificirani nehrđajući čelik uklj. poklopac s brtvom</t>
  </si>
  <si>
    <t>Ground sleeve 50/80 Vario aluminium-coated incl. cover with seal</t>
  </si>
  <si>
    <t>piantone 50/80 Vario alluminio verniciato, compreso coperchio con guarnizione</t>
  </si>
  <si>
    <t>Tuleja 50/80 VARIO do mocowania kolumny, aluminum powlekane z deklem i uszczelnieniem</t>
  </si>
  <si>
    <t xml:space="preserve">Padlóhüvely Vario 50/80 bevonatos alumínium, tömített fedéllel  </t>
  </si>
  <si>
    <t>Bodemhuls 50/80 Vario aluminium coating incl. deksel met afdichting</t>
  </si>
  <si>
    <r>
      <rPr>
        <sz val="11"/>
        <color theme="1"/>
        <rFont val="Calibri"/>
        <family val="2"/>
        <scheme val="minor"/>
      </rPr>
      <t>Talna puša 50/80, Vario aluminij, vključno s pokrovom in tesnilom</t>
    </r>
  </si>
  <si>
    <r>
      <t>Markhylsa 50/80 Vario aluminium,</t>
    </r>
    <r>
      <rPr>
        <sz val="11"/>
        <color rgb="FFFFFF00"/>
        <rFont val="Calibri"/>
        <family val="2"/>
        <scheme val="minor"/>
      </rPr>
      <t xml:space="preserve"> </t>
    </r>
    <r>
      <rPr>
        <sz val="11"/>
        <rFont val="Calibri"/>
        <family val="2"/>
        <scheme val="minor"/>
      </rPr>
      <t>ytbehandlad</t>
    </r>
    <r>
      <rPr>
        <sz val="11"/>
        <color theme="1"/>
        <rFont val="Calibri"/>
        <family val="2"/>
        <scheme val="minor"/>
      </rPr>
      <t>, inkl. lock med tätning</t>
    </r>
  </si>
  <si>
    <t>Bundmuffe 50/80 beklædt med Vario aluminium, inkl. dæksel med tætning</t>
  </si>
  <si>
    <t>JORDANKER 50/80 Vario aluminium med belegg inkl. lokk med tetning</t>
  </si>
  <si>
    <t>Podna čaška 50/80 vario plastificirani aluminij uklj. poklopac s brtvom</t>
  </si>
  <si>
    <t>Ground sleeve 50/80 Vario stainless steel-coated incl. cover with seal</t>
  </si>
  <si>
    <t>piantone 50/80 Vario acciaio inox verniciato, compreso coperchio con guarnizione</t>
  </si>
  <si>
    <t>Tuleja 50/80 VARIO do mocowania kolumny, stal nierdzewna powlekana z deklem i uszczelnieniem</t>
  </si>
  <si>
    <t xml:space="preserve">Padlóhüvely Vario 50/80 rozsdamentes acél, tömített fedéllel  </t>
  </si>
  <si>
    <t>Bodemhuls 50/80 Vario rvs coating incl. deksel met afdichting</t>
  </si>
  <si>
    <r>
      <rPr>
        <sz val="11"/>
        <color theme="1"/>
        <rFont val="Calibri"/>
        <family val="2"/>
        <scheme val="minor"/>
      </rPr>
      <t>Talna puša 50/80, Vario nerjavno jeklo, vključno s pokrovom in tesnilom</t>
    </r>
  </si>
  <si>
    <r>
      <t xml:space="preserve">Markhylsa 50/80 Vario rostfritt stål, </t>
    </r>
    <r>
      <rPr>
        <sz val="11"/>
        <rFont val="Calibri"/>
        <family val="2"/>
        <scheme val="minor"/>
      </rPr>
      <t>ytbehandlad</t>
    </r>
    <r>
      <rPr>
        <sz val="11"/>
        <color theme="1"/>
        <rFont val="Calibri"/>
        <family val="2"/>
        <scheme val="minor"/>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</si>
  <si>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</si>
  <si>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</si>
  <si>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</si>
  <si>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</si>
  <si>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</si>
  <si>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coperchio per piantone</t>
  </si>
  <si>
    <t>Pokrywa tulei do mocowania kolumny</t>
  </si>
  <si>
    <t>Padlóhüvely-fedél</t>
  </si>
  <si>
    <t>Bodemhulsdeksel</t>
  </si>
  <si>
    <r>
      <rPr>
        <sz val="11"/>
        <color theme="1"/>
        <rFont val="Calibri"/>
        <family val="2"/>
        <scheme val="minor"/>
      </rPr>
      <t>Pokrov za talno pušo</t>
    </r>
  </si>
  <si>
    <t>Lock till Markhylsa</t>
  </si>
  <si>
    <t>Dæksel til bundmuffe</t>
  </si>
  <si>
    <t>Jordankerlokk</t>
  </si>
  <si>
    <t>Poklopac podne čaške</t>
  </si>
  <si>
    <t>Bündig</t>
  </si>
  <si>
    <t>Flush</t>
  </si>
  <si>
    <t>a filo</t>
  </si>
  <si>
    <t>zwięzły</t>
  </si>
  <si>
    <t>Síkban</t>
  </si>
  <si>
    <t>Geïntegreerd</t>
  </si>
  <si>
    <r>
      <rPr>
        <sz val="11"/>
        <rFont val="Calibri"/>
        <family val="2"/>
        <scheme val="minor"/>
      </rPr>
      <t>Zvezno</t>
    </r>
  </si>
  <si>
    <t>Slät</t>
  </si>
  <si>
    <t>På niveau</t>
  </si>
  <si>
    <t>I flukt</t>
  </si>
  <si>
    <t>U ravnini</t>
  </si>
  <si>
    <t>Dammbalken</t>
  </si>
  <si>
    <t>Stop logs</t>
  </si>
  <si>
    <t>sponda</t>
  </si>
  <si>
    <t>Belka zapory</t>
  </si>
  <si>
    <t>Gátgerenda</t>
  </si>
  <si>
    <t>Dambalk</t>
  </si>
  <si>
    <r>
      <rPr>
        <sz val="11"/>
        <rFont val="Calibri"/>
        <family val="2"/>
        <scheme val="minor"/>
      </rPr>
      <t>Zajezitvene lamele</t>
    </r>
  </si>
  <si>
    <t>DÄMMBALK</t>
  </si>
  <si>
    <t>Dæmningsbjælker</t>
  </si>
  <si>
    <t>Bjelkestengsler / FLOMSIKRINGSELEMENT</t>
  </si>
  <si>
    <t>Daska brane</t>
  </si>
  <si>
    <t>Dammbalken 25/200 exkl. Dichtung, gesägt und entgratet</t>
  </si>
  <si>
    <t>Stop logs 25/200 excl. seal, cut to size and deburred</t>
  </si>
  <si>
    <t>sponda 25/200 esclusa guarnizione, segato e sbavato</t>
  </si>
  <si>
    <t>Belka zapory 25/200, bez uszczelnienia, docięta i okrawana</t>
  </si>
  <si>
    <t>Gátgerenda 25/200 tömítés nélkül, méretre vágva, sorjázva</t>
  </si>
  <si>
    <t>Dambalk 25/200 excl. afdichting, gezaagd en afgebraamd</t>
  </si>
  <si>
    <r>
      <rPr>
        <sz val="11"/>
        <color theme="1"/>
        <rFont val="Calibri"/>
        <family val="2"/>
        <scheme val="minor"/>
      </rPr>
      <t>Zajezitvena lamela 25/200, brez tesnila, odrezana, s posnetimi robovi</t>
    </r>
  </si>
  <si>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</si>
  <si>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</si>
  <si>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</si>
  <si>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</si>
  <si>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</si>
  <si>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Stop logs 50/150 excl. seal, cut to size and deburred</t>
  </si>
  <si>
    <t>sponda 50/150 esclusa guarnizione, segato e sbavato</t>
  </si>
  <si>
    <t>Belka zapory 50/150, bez uszczelnienia, docięta i okrawana</t>
  </si>
  <si>
    <t>Gátgerenda 50/150 tömítés nélkül, méretre vágva, sorjázva</t>
  </si>
  <si>
    <t>Dambalk 50/150 excl. afdichting, gezaagd en afgebraamd</t>
  </si>
  <si>
    <r>
      <rPr>
        <sz val="11"/>
        <color theme="1"/>
        <rFont val="Calibri"/>
        <family val="2"/>
        <scheme val="minor"/>
      </rPr>
      <t>Zajezitvena lamela 50/150, brez tesnila, odrezana, s posnetimi robovi</t>
    </r>
  </si>
  <si>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</si>
  <si>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</si>
  <si>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</si>
  <si>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</si>
  <si>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</si>
  <si>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Stop logs 50/200 excl. seal, cut to size and deburred</t>
  </si>
  <si>
    <t>sponda 50/200 esclusa guarnizione, segato e sbavato</t>
  </si>
  <si>
    <t>Belka zapory 50/200, bez uszczelnienia, docięta i okrawana</t>
  </si>
  <si>
    <t>Gátgerenda 50/200 tömítés nélkül, méretre vágva, sorjázva</t>
  </si>
  <si>
    <t>Dambalk 50/200 excl. afdichting, gezaagd en afgebraamd</t>
  </si>
  <si>
    <r>
      <rPr>
        <sz val="11"/>
        <color theme="1"/>
        <rFont val="Calibri"/>
        <family val="2"/>
        <scheme val="minor"/>
      </rPr>
      <t>Zajezitvena lamela 50/200, brez tesnila, odrezana, s posnetimi robovi</t>
    </r>
  </si>
  <si>
    <r>
      <t>DÄMMBALK 50/200 exkl. tätning,</t>
    </r>
    <r>
      <rPr>
        <sz val="11"/>
        <rFont val="Calibri"/>
        <family val="2"/>
        <scheme val="minor"/>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</si>
  <si>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</si>
  <si>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</si>
  <si>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</si>
  <si>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</si>
  <si>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Stop logs 80/200 excl. seal, cut to size and deburred</t>
  </si>
  <si>
    <t>sponda 80/200 esclusa guarnizione, segato e sbavato</t>
  </si>
  <si>
    <t>Belka zapory 80/200, bez uszczelnienia, docięta i okrawana</t>
  </si>
  <si>
    <t>Gátgerenda 80/200 tömítés nélkül, méretre vágva, sorjázva</t>
  </si>
  <si>
    <t>Dambalk 80/200 excl. afdichting, gezaagd en afgebraamd</t>
  </si>
  <si>
    <r>
      <rPr>
        <sz val="11"/>
        <color theme="1"/>
        <rFont val="Calibri"/>
        <family val="2"/>
        <scheme val="minor"/>
      </rPr>
      <t>Zajezitvena lamela 80/200, brez tesnila, odrezana, s posnetimi robovi</t>
    </r>
  </si>
  <si>
    <r>
      <t>DÄMMBALK 80/200 exkl. tätning, kapad &amp;</t>
    </r>
    <r>
      <rPr>
        <sz val="11"/>
        <rFont val="Calibri"/>
        <family val="2"/>
        <scheme val="minor"/>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</si>
  <si>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</si>
  <si>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</si>
  <si>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</si>
  <si>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</si>
  <si>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</si>
  <si>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guarnizione per sponde (25)</t>
  </si>
  <si>
    <t>Uszczelka belki zapory (25)</t>
  </si>
  <si>
    <t>Gátgerenda tömítés (25)</t>
  </si>
  <si>
    <t>Dambalkafdichting (25)</t>
  </si>
  <si>
    <r>
      <rPr>
        <sz val="11"/>
        <color theme="1"/>
        <rFont val="Calibri"/>
        <family val="2"/>
        <scheme val="minor"/>
      </rPr>
      <t>Tesnilo za zajezitveno lamelo (25)</t>
    </r>
  </si>
  <si>
    <t>Dämmbalkstätning (25)</t>
  </si>
  <si>
    <t>Dæmningsbjælketætning (25)</t>
  </si>
  <si>
    <t>FLOMSIRKINGSELEMENTTETNING (25)</t>
  </si>
  <si>
    <t>Brtvljenje daske brane (25)</t>
  </si>
  <si>
    <t>Dammbalkendichtung (50+80)</t>
  </si>
  <si>
    <t>Stop log seal (50+80)</t>
  </si>
  <si>
    <t>guarnizione per sponde (50+80)</t>
  </si>
  <si>
    <t>Uszczelka belki zapory (50+80)</t>
  </si>
  <si>
    <t>Gátgerenda tömítés (50+80)</t>
  </si>
  <si>
    <t>Dambalkafdichting (50+80)</t>
  </si>
  <si>
    <r>
      <rPr>
        <sz val="11"/>
        <color theme="1"/>
        <rFont val="Calibri"/>
        <family val="2"/>
        <scheme val="minor"/>
      </rPr>
      <t>Tesnilo za zajezitveno lamelo (50+80)</t>
    </r>
  </si>
  <si>
    <t>Dämmbalkstätning (50+80)</t>
  </si>
  <si>
    <t>Dæmningsbjælketætning (50 + 80)</t>
  </si>
  <si>
    <t>FLOMSIRKINGSELEMENTTETNING (50+80)</t>
  </si>
  <si>
    <t>Brtvljenje daske brane (50+80)</t>
  </si>
  <si>
    <t>Dateneingabe</t>
  </si>
  <si>
    <t>Data entry</t>
  </si>
  <si>
    <t>Saisie des données</t>
  </si>
  <si>
    <t>inserimento dati</t>
  </si>
  <si>
    <t>Wprowadzanie danych</t>
  </si>
  <si>
    <t>Adatok megadása</t>
  </si>
  <si>
    <t>Gegevensinvoer</t>
  </si>
  <si>
    <r>
      <rPr>
        <sz val="11"/>
        <color theme="1"/>
        <rFont val="Calibri"/>
        <family val="2"/>
        <scheme val="minor"/>
      </rPr>
      <t>Vnos podatkov</t>
    </r>
  </si>
  <si>
    <t>Datainmatning</t>
  </si>
  <si>
    <t>Dataindlæsning</t>
  </si>
  <si>
    <t>Inntasting av data</t>
  </si>
  <si>
    <t>Unos podataka</t>
  </si>
  <si>
    <t>Datum:</t>
  </si>
  <si>
    <t>Date:</t>
  </si>
  <si>
    <t>Date :</t>
  </si>
  <si>
    <t>data:</t>
  </si>
  <si>
    <t>Data:</t>
  </si>
  <si>
    <t>Dátum:</t>
  </si>
  <si>
    <r>
      <rPr>
        <sz val="11"/>
        <color theme="1"/>
        <rFont val="Calibri"/>
        <family val="2"/>
        <scheme val="minor"/>
      </rPr>
      <t>Datum:</t>
    </r>
  </si>
  <si>
    <t>Dato:</t>
  </si>
  <si>
    <t>Dauerbodendichtung 50</t>
  </si>
  <si>
    <t>Permanent base seal 50</t>
  </si>
  <si>
    <t>guarnizione a pavimento a lunga durata 50</t>
  </si>
  <si>
    <t>Stałe uszczelnienie podłogowe 50</t>
  </si>
  <si>
    <t>Bentmaradó talajtömítés 50</t>
  </si>
  <si>
    <t>Duurzame Bodemafdichting 50</t>
  </si>
  <si>
    <r>
      <rPr>
        <sz val="11"/>
        <rFont val="Calibri"/>
        <family val="2"/>
        <scheme val="minor"/>
      </rPr>
      <t>Trajno talno tesnilo 50</t>
    </r>
  </si>
  <si>
    <t>PERMANENTGOLVTÄTNING 50</t>
  </si>
  <si>
    <t>Permanent bundtætning 50</t>
  </si>
  <si>
    <t>Permanent bunntetning 50</t>
  </si>
  <si>
    <t>Trajno brtvljenje prema tlu 50</t>
  </si>
  <si>
    <t>Dauerbodendichtung 80</t>
  </si>
  <si>
    <t>Permanent base seal 80</t>
  </si>
  <si>
    <t>guarnizione a pavimento a lunga durata 80</t>
  </si>
  <si>
    <t>Stałe uszczelnienie podłogowe 80</t>
  </si>
  <si>
    <t>Bentmaradó talajtömítés 80</t>
  </si>
  <si>
    <t>Duurzame Bodemafdichting 80</t>
  </si>
  <si>
    <r>
      <rPr>
        <sz val="11"/>
        <rFont val="Calibri"/>
        <family val="2"/>
        <scheme val="minor"/>
      </rPr>
      <t>Trajno talno tesnilo 80</t>
    </r>
  </si>
  <si>
    <t>PERMANENTGOLVTÄTNING 80</t>
  </si>
  <si>
    <t>Permanent bundtætning 80</t>
  </si>
  <si>
    <t>Permanent bunntetning 80</t>
  </si>
  <si>
    <t>Trajno brtvljenje prema tlu 80</t>
  </si>
  <si>
    <t>Dauerbodendichtung:</t>
  </si>
  <si>
    <t>Permanent base seal:</t>
  </si>
  <si>
    <t>Joint au sol permanent :</t>
  </si>
  <si>
    <t>guarnizione a pavimento a lunga durata:</t>
  </si>
  <si>
    <t>Stałe uszczelnienie podłogowe:</t>
  </si>
  <si>
    <t>Bentmaradó talajtömítés:</t>
  </si>
  <si>
    <t>Duurzame Bodemafdichting:</t>
  </si>
  <si>
    <r>
      <rPr>
        <sz val="11"/>
        <rFont val="Calibri"/>
        <family val="2"/>
        <scheme val="minor"/>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</si>
  <si>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</si>
  <si>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</si>
  <si>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</si>
  <si>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</si>
  <si>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</si>
  <si>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</si>
  <si>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</si>
  <si>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</si>
  <si>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Definicja pola w świetle:</t>
  </si>
  <si>
    <t>Mező fesztávolsága:</t>
  </si>
  <si>
    <t>Definitie veld dagmaat:</t>
  </si>
  <si>
    <r>
      <rPr>
        <sz val="11"/>
        <color theme="1"/>
        <rFont val="Calibri"/>
        <family val="2"/>
        <scheme val="minor"/>
      </rPr>
      <t>Določitev polja notranje odprtine:</t>
    </r>
  </si>
  <si>
    <t>Definition av fält inre öppning:</t>
  </si>
  <si>
    <t>Definition af felt for indvendigt lys:</t>
  </si>
  <si>
    <t>Definisjonsfelt taklys:</t>
  </si>
  <si>
    <t>Definicija polja unutrašnje širine:</t>
  </si>
  <si>
    <t>Dichtung für Deckel und Bodenhülse gross DM 230 mm</t>
  </si>
  <si>
    <t>Seal for cover and ground sleeve, large Ø 230 mm</t>
  </si>
  <si>
    <t>guarnizione per coperchio e piantone grande D230 mm</t>
  </si>
  <si>
    <t>Uszczelka do pokrywy i tulei duża DM 230 mm</t>
  </si>
  <si>
    <r>
      <t xml:space="preserve">Tömítés padlóhüvely-fedélhez nagy </t>
    </r>
    <r>
      <rPr>
        <sz val="11"/>
        <color theme="1"/>
        <rFont val="Calibri"/>
        <family val="2"/>
      </rPr>
      <t>ø</t>
    </r>
    <r>
      <rPr>
        <sz val="11"/>
        <color theme="1"/>
        <rFont val="Calibri"/>
        <family val="2"/>
        <scheme val="minor"/>
      </rPr>
      <t xml:space="preserve"> DM 230 mm</t>
    </r>
  </si>
  <si>
    <t>Afdichting voor deksel en bodemhuls groot diam. 230 mm</t>
  </si>
  <si>
    <r>
      <rPr>
        <sz val="11"/>
        <rFont val="Calibri"/>
        <family val="2"/>
        <scheme val="minor"/>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</si>
  <si>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</si>
  <si>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</si>
  <si>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</si>
  <si>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</si>
  <si>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</si>
  <si>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</si>
  <si>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guarnizione per coperchio e piantone piccolo D170 mm</t>
  </si>
  <si>
    <t>Uszczelka do pokrywy i tulei mała DM 170 mm</t>
  </si>
  <si>
    <t>Tömítés padlóhüvely-fedélhez kicsi ø DM 170 mm</t>
  </si>
  <si>
    <t>Afdichting voor deksel en bodemhuls klein diam. 170 mm</t>
  </si>
  <si>
    <r>
      <rPr>
        <sz val="11"/>
        <rFont val="Calibri"/>
        <family val="2"/>
        <scheme val="minor"/>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</si>
  <si>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</si>
  <si>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</si>
  <si>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</si>
  <si>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</si>
  <si>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Durchbiegung</t>
  </si>
  <si>
    <t>Deflection</t>
  </si>
  <si>
    <t>freccia</t>
  </si>
  <si>
    <t>Ugięcie</t>
  </si>
  <si>
    <t>Kihajlás</t>
  </si>
  <si>
    <t>Doorbuiging</t>
  </si>
  <si>
    <r>
      <rPr>
        <sz val="11"/>
        <color theme="1"/>
        <rFont val="Calibri"/>
        <family val="2"/>
        <scheme val="minor"/>
      </rPr>
      <t>Upogibanje</t>
    </r>
  </si>
  <si>
    <t>Nedböjning</t>
  </si>
  <si>
    <t>Nedbøjning</t>
  </si>
  <si>
    <t>Nedbøyning</t>
  </si>
  <si>
    <t>Progib</t>
  </si>
  <si>
    <t>Edelstahl</t>
  </si>
  <si>
    <t>Stainless steel</t>
  </si>
  <si>
    <t>acciaio inox</t>
  </si>
  <si>
    <t>Stal nierdzewna</t>
  </si>
  <si>
    <t>Rozsdamentes acél</t>
  </si>
  <si>
    <t>Rvs</t>
  </si>
  <si>
    <r>
      <rPr>
        <sz val="11"/>
        <color theme="1"/>
        <rFont val="Calibri"/>
        <family val="2"/>
        <scheme val="minor"/>
      </rPr>
      <t>Nerjavno jeklo</t>
    </r>
  </si>
  <si>
    <t>Rostfritt stål</t>
  </si>
  <si>
    <t>Rustfrit stål</t>
  </si>
  <si>
    <t>Rustfritt stål</t>
  </si>
  <si>
    <t>Nehrđajući čelik</t>
  </si>
  <si>
    <t>Einheit</t>
  </si>
  <si>
    <t>Unit</t>
  </si>
  <si>
    <t>Unité</t>
  </si>
  <si>
    <t>unità</t>
  </si>
  <si>
    <t>Jednostka</t>
  </si>
  <si>
    <t>Egység</t>
  </si>
  <si>
    <t>Eenheid</t>
  </si>
  <si>
    <r>
      <rPr>
        <sz val="11"/>
        <color theme="1"/>
        <rFont val="Calibri"/>
        <family val="2"/>
        <scheme val="minor"/>
      </rPr>
      <t>Enota</t>
    </r>
  </si>
  <si>
    <t>Enhet</t>
  </si>
  <si>
    <t>Enhed</t>
  </si>
  <si>
    <t>Jedinica</t>
  </si>
  <si>
    <t>eMail:</t>
  </si>
  <si>
    <t>Email:</t>
  </si>
  <si>
    <t>e-mail:</t>
  </si>
  <si>
    <t>email:</t>
  </si>
  <si>
    <t>E-mailadres:</t>
  </si>
  <si>
    <r>
      <rPr>
        <sz val="11"/>
        <color theme="1"/>
        <rFont val="Calibri"/>
        <family val="2"/>
        <scheme val="minor"/>
      </rPr>
      <t>E-naslov:</t>
    </r>
  </si>
  <si>
    <t>E-postadress:</t>
  </si>
  <si>
    <t>E-mail:</t>
  </si>
  <si>
    <t>e-post:</t>
  </si>
  <si>
    <t>e-pošta:</t>
  </si>
  <si>
    <t>Endsumme</t>
  </si>
  <si>
    <t>Final total</t>
  </si>
  <si>
    <t>Somme totale</t>
  </si>
  <si>
    <t>totale</t>
  </si>
  <si>
    <t>suma końcowa</t>
  </si>
  <si>
    <t>Végösszeg</t>
  </si>
  <si>
    <t>Eindtotaal</t>
  </si>
  <si>
    <r>
      <rPr>
        <sz val="11"/>
        <color theme="1"/>
        <rFont val="Calibri"/>
        <family val="2"/>
        <scheme val="minor"/>
      </rPr>
      <t>Končna vsota</t>
    </r>
  </si>
  <si>
    <t>Slutsumma</t>
  </si>
  <si>
    <t>Slutsum</t>
  </si>
  <si>
    <t>Sluttsum</t>
  </si>
  <si>
    <t>Konačni zbroj</t>
  </si>
  <si>
    <t>Farbe:</t>
  </si>
  <si>
    <t>Colour:</t>
  </si>
  <si>
    <t>Couleur :</t>
  </si>
  <si>
    <t>colore:</t>
  </si>
  <si>
    <t>Kolor:</t>
  </si>
  <si>
    <t>Szín</t>
  </si>
  <si>
    <t>Kleur:</t>
  </si>
  <si>
    <r>
      <rPr>
        <sz val="11"/>
        <color theme="1"/>
        <rFont val="Calibri"/>
        <family val="2"/>
        <scheme val="minor"/>
      </rPr>
      <t>Barva:</t>
    </r>
  </si>
  <si>
    <t>Färg:</t>
  </si>
  <si>
    <t>Farve:</t>
  </si>
  <si>
    <t>Farge:</t>
  </si>
  <si>
    <t>Boja:</t>
  </si>
  <si>
    <t>Feld Nr.</t>
  </si>
  <si>
    <t>Field no</t>
  </si>
  <si>
    <t>Nº de travée</t>
  </si>
  <si>
    <t>Campata nr.</t>
  </si>
  <si>
    <t>Pole nr.</t>
  </si>
  <si>
    <t>Mező ssz.</t>
  </si>
  <si>
    <t>Veldnr.</t>
  </si>
  <si>
    <r>
      <rPr>
        <sz val="11"/>
        <color theme="1"/>
        <rFont val="Calibri"/>
        <family val="2"/>
        <scheme val="minor"/>
      </rPr>
      <t>Polje št.</t>
    </r>
  </si>
  <si>
    <t>Fält, nr</t>
  </si>
  <si>
    <t>Felt nr.</t>
  </si>
  <si>
    <t>Br. polja</t>
  </si>
  <si>
    <t>Filter:</t>
  </si>
  <si>
    <t>Filtre :</t>
  </si>
  <si>
    <t>filtro:</t>
  </si>
  <si>
    <t>Filtr:</t>
  </si>
  <si>
    <t>Szűrő:</t>
  </si>
  <si>
    <r>
      <rPr>
        <sz val="11"/>
        <color theme="1"/>
        <rFont val="Calibri"/>
        <family val="2"/>
        <scheme val="minor"/>
      </rPr>
      <t>Filter:</t>
    </r>
  </si>
  <si>
    <t>Filtar:</t>
  </si>
  <si>
    <t>Firma / Besteller:</t>
  </si>
  <si>
    <t>Entreprise / Acheteur :</t>
  </si>
  <si>
    <t>ditta:</t>
  </si>
  <si>
    <t>Firma / Zamawiający</t>
  </si>
  <si>
    <t>Cég / Megrendelő:</t>
  </si>
  <si>
    <t>Firma / besteller:</t>
  </si>
  <si>
    <r>
      <rPr>
        <sz val="11"/>
        <color theme="1"/>
        <rFont val="Calibri"/>
        <family val="2"/>
        <scheme val="minor"/>
      </rPr>
      <t>Podjetje/naročnik:</t>
    </r>
  </si>
  <si>
    <t>Företag/Beställare</t>
  </si>
  <si>
    <t>Firma/bestiller:</t>
  </si>
  <si>
    <t>Tvrtka / naručitelj:</t>
  </si>
  <si>
    <t>Gesamt Länge</t>
  </si>
  <si>
    <t>Total length</t>
  </si>
  <si>
    <t>lunghezza totale</t>
  </si>
  <si>
    <t>długość całkowita</t>
  </si>
  <si>
    <t>Teljes hossz</t>
  </si>
  <si>
    <t>Totale lengte</t>
  </si>
  <si>
    <r>
      <rPr>
        <sz val="11"/>
        <color theme="1"/>
        <rFont val="Calibri"/>
        <family val="2"/>
        <scheme val="minor"/>
      </rPr>
      <t>Skupna dolžina</t>
    </r>
  </si>
  <si>
    <t>Total längd</t>
  </si>
  <si>
    <t>Samlet længde</t>
  </si>
  <si>
    <t>Total lengde</t>
  </si>
  <si>
    <t>Ukupna duljina</t>
  </si>
  <si>
    <t>Lichteweite [mm]:</t>
  </si>
  <si>
    <t>Desired system length [mm]:</t>
  </si>
  <si>
    <t>lunghezza prevista del sistema [mm]:</t>
  </si>
  <si>
    <t>Oczekiwana długość systemu</t>
  </si>
  <si>
    <t>tervezett rendszerhossz [mm]:</t>
  </si>
  <si>
    <t>Gewenste systeemlengte [mm]:</t>
  </si>
  <si>
    <r>
      <rPr>
        <sz val="11"/>
        <color theme="1"/>
        <rFont val="Calibri"/>
        <family val="2"/>
        <scheme val="minor"/>
      </rPr>
      <t>Želena dolžina sistema [mm]:</t>
    </r>
  </si>
  <si>
    <t>Önskad systemlängd [mm]:</t>
  </si>
  <si>
    <t>Ønsket systemlængde [mm]:</t>
  </si>
  <si>
    <t>Ønsket systemlengde [mm]:</t>
  </si>
  <si>
    <t>željena duljina sustava [mm]:</t>
  </si>
  <si>
    <t>Grundprofil 50 (H-Profil v.d.L.) exkl. Dichtung, gebohrt und entgratet</t>
  </si>
  <si>
    <t>Base profile 50 (H profile in front of soffit) excl. seal, drilled and deburred</t>
  </si>
  <si>
    <t>Profil podstawowy 50 (profil H v. d. L. ) bez uszczelnienia, nawiercony i okrawany</t>
  </si>
  <si>
    <t>H-profil 50, tömítés nélkül, furatolva és sorjázva</t>
  </si>
  <si>
    <t>Basisprofiel 50 (H-profiel op de dag) excl. afdichting, geboord en afgebraamd</t>
  </si>
  <si>
    <r>
      <rPr>
        <sz val="11"/>
        <color theme="1"/>
        <rFont val="Calibri"/>
        <family val="2"/>
        <scheme val="minor"/>
      </rPr>
      <t>Osnovni profil 50 (H-profil pred špaleto) brez tesnila, z izvrtinami in posnetimi robovi</t>
    </r>
  </si>
  <si>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</si>
  <si>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</si>
  <si>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</si>
  <si>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</si>
  <si>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Base profile 50 (H profile in front of soffit) Special length excl. seal, drilled and deburred</t>
  </si>
  <si>
    <t>Profil podstawowy 50 (profil H v. d. L. ), długość specjalna bez uszczelnienia, nawiercony i okrawany</t>
  </si>
  <si>
    <t>H-profil 50, egyedi hosszméret, tömítés nélkül, furatolva és sorjázva</t>
  </si>
  <si>
    <t>Basisprofiel 50 (H-profiel op de dag) Aangepaste lengte excl. afdichting, geboord en afgebraamd</t>
  </si>
  <si>
    <r>
      <rPr>
        <sz val="11"/>
        <color theme="1"/>
        <rFont val="Calibri"/>
        <family val="2"/>
        <scheme val="minor"/>
      </rPr>
      <t>Osnovni profil 50 (H-profil pred špaleto) Posebna dolžina brez tesnila, z izvrtinami in posnetimi robovi</t>
    </r>
  </si>
  <si>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</si>
  <si>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</si>
  <si>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</si>
  <si>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</si>
  <si>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</si>
  <si>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</si>
  <si>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podstawowy 50 (profil H v. d. L. ), długość sztaby bez uszczelnienia, nawiercony i okrawany</t>
  </si>
  <si>
    <t>H-profil 50, szálban, tömítés nélkül, furatolva és sorjázva</t>
  </si>
  <si>
    <t>Basisprofiel 50 (H-profiel op de dag) Standaardlengte excl. afdichting, geboord en afgebraamd</t>
  </si>
  <si>
    <r>
      <rPr>
        <sz val="11"/>
        <color theme="1"/>
        <rFont val="Calibri"/>
        <family val="2"/>
        <scheme val="minor"/>
      </rPr>
      <t>Osnovni profil 50 (H-profil pred špaleto) V palicah, brez tesnila, z izvrtinami in posnetimi robovi</t>
    </r>
  </si>
  <si>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</si>
  <si>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</si>
  <si>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</si>
  <si>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</si>
  <si>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</si>
  <si>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</si>
  <si>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podstawowy 80 (profil H v. d. L. ) bez uszczelnienia, nawiercony i okrawany</t>
  </si>
  <si>
    <t>H-profil 80, tömítés nélkül, furatolva és sorjázva</t>
  </si>
  <si>
    <t>Basisprofiel 80 (H-profiel op de dag) excl. afdichting, geboord en afgebraamd</t>
  </si>
  <si>
    <r>
      <rPr>
        <sz val="11"/>
        <color theme="1"/>
        <rFont val="Calibri"/>
        <family val="2"/>
        <scheme val="minor"/>
      </rPr>
      <t>Osnovni profil 80 (H-profil pred špaleto) brez tesnila, z izvrtinami in posnetimi robovi</t>
    </r>
  </si>
  <si>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</si>
  <si>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</si>
  <si>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</si>
  <si>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</si>
  <si>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Base profile 80 (H profile in front of soffit) Special length excl. seal, drilled and deburred</t>
  </si>
  <si>
    <t>Profil podstawowy 80 (profil H v. d. L. ), długość specjalna bez uszczelnienia, nawiercony i okrawany</t>
  </si>
  <si>
    <t>H-profil 80, egyedi hosszméret, tömítés nélkül, furatolva és sorjázva</t>
  </si>
  <si>
    <t>Basisprofiel 80 (H-profiel op de dag) Aangepaste lengte excl. afdichting, geboord en afgebraamd</t>
  </si>
  <si>
    <r>
      <rPr>
        <sz val="11"/>
        <color theme="1"/>
        <rFont val="Calibri"/>
        <family val="2"/>
        <scheme val="minor"/>
      </rPr>
      <t>Osnovni profil 80 (H-profil pred špaleto) Posebna dolžina brez tesnila, z izvrtinami in posnetimi robovi</t>
    </r>
  </si>
  <si>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</si>
  <si>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</si>
  <si>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</si>
  <si>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</si>
  <si>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</si>
  <si>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</si>
  <si>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podstawowy 80 (profil H v. d. L. ), długość sztaby bez uszczelnienia, nawiercony i okrawany</t>
  </si>
  <si>
    <t>H-profil 80, szálban, tömítés nélkül, furatolva és sorjázva</t>
  </si>
  <si>
    <t>Basisprofiel 80 (H-profiel op de dag) Standaardlengte excl. afdichting, geboord en afgebraamd</t>
  </si>
  <si>
    <r>
      <rPr>
        <sz val="11"/>
        <color theme="1"/>
        <rFont val="Calibri"/>
        <family val="2"/>
        <scheme val="minor"/>
      </rPr>
      <t>Osnovni profil 80 (H-profil pred špaleto) V palicah, brez tesnila, z izvrtinami in posnetimi robovi</t>
    </r>
  </si>
  <si>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</si>
  <si>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</si>
  <si>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</si>
  <si>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</si>
  <si>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</si>
  <si>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</si>
  <si>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guarnizione per montante</t>
  </si>
  <si>
    <t>Uszczelka profilu podstawowego</t>
  </si>
  <si>
    <t>H-profil tömítés</t>
  </si>
  <si>
    <t>Basisprofielafdichting</t>
  </si>
  <si>
    <r>
      <rPr>
        <sz val="11"/>
        <color theme="1"/>
        <rFont val="Calibri"/>
        <family val="2"/>
        <scheme val="minor"/>
      </rPr>
      <t>Tesnilo za osnovni profil</t>
    </r>
  </si>
  <si>
    <t>Grundprofiltätning</t>
  </si>
  <si>
    <t>Tætning til grundprofil</t>
  </si>
  <si>
    <t>Grunnprofiltetning</t>
  </si>
  <si>
    <t>Brtva osnovnog profila</t>
  </si>
  <si>
    <t>Halterung für Dammbalken</t>
  </si>
  <si>
    <t>Bracket for stop logs</t>
  </si>
  <si>
    <t>staffa di stoccaggio per sponde</t>
  </si>
  <si>
    <t>Uchwyt ścienny do belek</t>
  </si>
  <si>
    <t>Gátgerenda tartó elem</t>
  </si>
  <si>
    <t>Houder voor Dambalk</t>
  </si>
  <si>
    <r>
      <rPr>
        <sz val="11"/>
        <rFont val="Calibri"/>
        <family val="2"/>
        <scheme val="minor"/>
      </rPr>
      <t>Držalo za zajezitveno lamelo</t>
    </r>
  </si>
  <si>
    <t>Hållare för DÄMMBALK</t>
  </si>
  <si>
    <t>Holder til dæmningsbjælker</t>
  </si>
  <si>
    <t>Holder for bjelkestengsel</t>
  </si>
  <si>
    <t>Nosač za daske brane</t>
  </si>
  <si>
    <t>Halterungen Dammbalken:</t>
  </si>
  <si>
    <t>Brackets for stop logs:</t>
  </si>
  <si>
    <t>staffe di stoccaggio per sponde:</t>
  </si>
  <si>
    <t>Wspornik belki</t>
  </si>
  <si>
    <t>Gátgerenda tartó elem:</t>
  </si>
  <si>
    <t>Houders voor Dambalk:</t>
  </si>
  <si>
    <r>
      <rPr>
        <sz val="11"/>
        <rFont val="Calibri"/>
        <family val="2"/>
        <scheme val="minor"/>
      </rPr>
      <t>Držalo za zajezitveno lamelo:</t>
    </r>
  </si>
  <si>
    <t>Hållare DÄMMBALK:</t>
  </si>
  <si>
    <t>Holdere dæmningsbjælker:</t>
  </si>
  <si>
    <t>Holdere bjelkestenglser:</t>
  </si>
  <si>
    <t>Nosači dasaka brane:</t>
  </si>
  <si>
    <t>Lifting aid</t>
  </si>
  <si>
    <t>leva</t>
  </si>
  <si>
    <t>Podnośnik</t>
  </si>
  <si>
    <t>Emelőkar</t>
  </si>
  <si>
    <t>Hijshulp</t>
  </si>
  <si>
    <r>
      <rPr>
        <sz val="11"/>
        <rFont val="Calibri"/>
        <family val="2"/>
        <scheme val="minor"/>
      </rPr>
      <t>Pripomoček za dviganje</t>
    </r>
  </si>
  <si>
    <t>Lyfthjälpmedel</t>
  </si>
  <si>
    <t>Løfteassistance</t>
  </si>
  <si>
    <t>Løftehjelp</t>
  </si>
  <si>
    <t>Pomagalo za dizanje</t>
  </si>
  <si>
    <t>Hydrostatisch &amp; -dynamisch</t>
  </si>
  <si>
    <t>Hydrostatic &amp; dynamic</t>
  </si>
  <si>
    <t>Hydrostatique et hydrodynamique</t>
  </si>
  <si>
    <t>idrostatico e idrodinamico</t>
  </si>
  <si>
    <t>hydrostatyczny &amp; -dynamiczny</t>
  </si>
  <si>
    <t>Hidrosztatikai és dinamikus</t>
  </si>
  <si>
    <t>Hydrostatisch en -dynamisch</t>
  </si>
  <si>
    <r>
      <rPr>
        <sz val="11"/>
        <color theme="1"/>
        <rFont val="Calibri"/>
        <family val="2"/>
        <scheme val="minor"/>
      </rPr>
      <t>Hidrostatično in dinamično</t>
    </r>
  </si>
  <si>
    <t>Hydrostatisk och -dynamisk</t>
  </si>
  <si>
    <t>Hydrostatisk og dynamisk</t>
  </si>
  <si>
    <t>Hydrostatisk og -dynamisk</t>
  </si>
  <si>
    <t>Hidrostatski i hidrodinamički</t>
  </si>
  <si>
    <t>In der Leibung</t>
  </si>
  <si>
    <t>In the soffit</t>
  </si>
  <si>
    <t>Dans l’embrasure</t>
  </si>
  <si>
    <t>w ścianie</t>
  </si>
  <si>
    <t>Falsíkba süllyesztett</t>
  </si>
  <si>
    <t>In de dag</t>
  </si>
  <si>
    <r>
      <rPr>
        <sz val="11"/>
        <rFont val="Calibri"/>
        <family val="2"/>
        <scheme val="minor"/>
      </rPr>
      <t>V špaleti</t>
    </r>
  </si>
  <si>
    <t>Öppning invändigt</t>
  </si>
  <si>
    <t>I pladeunderside</t>
  </si>
  <si>
    <t>I åpningen</t>
  </si>
  <si>
    <t>U otvoru</t>
  </si>
  <si>
    <t>KALKULATION</t>
  </si>
  <si>
    <t>ESTIMATE</t>
  </si>
  <si>
    <t>CALCUL</t>
  </si>
  <si>
    <t>DIMENSIONAMENTO</t>
  </si>
  <si>
    <t>KALKULACJA</t>
  </si>
  <si>
    <t>SZÁMÍTÁS</t>
  </si>
  <si>
    <t>CALCULATIE</t>
  </si>
  <si>
    <r>
      <rPr>
        <sz val="11"/>
        <color theme="1"/>
        <rFont val="Calibri"/>
        <family val="2"/>
        <scheme val="minor"/>
      </rPr>
      <t>KALKULACIJA</t>
    </r>
  </si>
  <si>
    <t>KALKYLERING</t>
  </si>
  <si>
    <t>KALKULASJON</t>
  </si>
  <si>
    <t>KALKULACIJA</t>
  </si>
  <si>
    <t>keine</t>
  </si>
  <si>
    <t>none</t>
  </si>
  <si>
    <t>nessuna</t>
  </si>
  <si>
    <t>małe</t>
  </si>
  <si>
    <t>nincs</t>
  </si>
  <si>
    <t>Geen</t>
  </si>
  <si>
    <r>
      <rPr>
        <sz val="11"/>
        <color theme="1"/>
        <rFont val="Calibri"/>
        <family val="2"/>
        <scheme val="minor"/>
      </rPr>
      <t>brez</t>
    </r>
  </si>
  <si>
    <t>ingen</t>
  </si>
  <si>
    <t>nema</t>
  </si>
  <si>
    <t>kg/Stk</t>
  </si>
  <si>
    <t>kg/pcs</t>
  </si>
  <si>
    <t>kg/pc.</t>
  </si>
  <si>
    <t>kg/pezzo</t>
  </si>
  <si>
    <t>kg/szt.</t>
  </si>
  <si>
    <t>kg/db</t>
  </si>
  <si>
    <t>Kg/stuk</t>
  </si>
  <si>
    <r>
      <rPr>
        <sz val="11"/>
        <color theme="1"/>
        <rFont val="Calibri"/>
        <family val="2"/>
        <scheme val="minor"/>
      </rPr>
      <t>kg/kos</t>
    </r>
  </si>
  <si>
    <t>kg/st.</t>
  </si>
  <si>
    <t>Kg/stk.</t>
  </si>
  <si>
    <t>kg/stk.</t>
  </si>
  <si>
    <t>kg/kom</t>
  </si>
  <si>
    <t>Kommission:</t>
  </si>
  <si>
    <t>Référence commande :</t>
  </si>
  <si>
    <t>ordine:</t>
  </si>
  <si>
    <t>Komisja:</t>
  </si>
  <si>
    <t>Komisszió:</t>
  </si>
  <si>
    <t>Commissie:</t>
  </si>
  <si>
    <r>
      <rPr>
        <sz val="11"/>
        <color theme="1"/>
        <rFont val="Calibri"/>
        <family val="2"/>
        <scheme val="minor"/>
      </rPr>
      <t>Komisioniranje:</t>
    </r>
  </si>
  <si>
    <t>Mottagare:</t>
  </si>
  <si>
    <t>Kommisjon:</t>
  </si>
  <si>
    <t>Komisiona prodaja:</t>
  </si>
  <si>
    <t>Lagerabdeckung</t>
  </si>
  <si>
    <t>Warehouse cover</t>
  </si>
  <si>
    <t>coperchio per stoccaggio sponde</t>
  </si>
  <si>
    <t>Pokrywa ochronna</t>
  </si>
  <si>
    <t>Tartódoboz takaróelem</t>
  </si>
  <si>
    <t>Opbergbox</t>
  </si>
  <si>
    <r>
      <rPr>
        <sz val="11"/>
        <rFont val="Calibri"/>
        <family val="2"/>
        <scheme val="minor"/>
      </rPr>
      <t>Zakriti ležaji</t>
    </r>
  </si>
  <si>
    <t>Förvaringslåda</t>
  </si>
  <si>
    <t>Lejeafdækning</t>
  </si>
  <si>
    <t>Lagerdeksel</t>
  </si>
  <si>
    <t>Skladišni pokrov</t>
  </si>
  <si>
    <t>Landschaftsschutz</t>
  </si>
  <si>
    <t>Landscape protection</t>
  </si>
  <si>
    <t>protezione aree esterne</t>
  </si>
  <si>
    <t>Ochrona krajobrazu</t>
  </si>
  <si>
    <t>Tájvédelem</t>
  </si>
  <si>
    <t>Landschapsbescherming</t>
  </si>
  <si>
    <r>
      <rPr>
        <sz val="11"/>
        <color theme="1"/>
        <rFont val="Calibri"/>
        <family val="2"/>
        <scheme val="minor"/>
      </rPr>
      <t>Zaščita okolice</t>
    </r>
  </si>
  <si>
    <t>Landskapsskydd</t>
  </si>
  <si>
    <t>Beskyttelse af landskaber</t>
  </si>
  <si>
    <t>Landskapsvern</t>
  </si>
  <si>
    <t>Zaštita okoline</t>
  </si>
  <si>
    <t>Länge</t>
  </si>
  <si>
    <t>Length</t>
  </si>
  <si>
    <t>lunghezza</t>
  </si>
  <si>
    <t>Długość</t>
  </si>
  <si>
    <t>Hossz</t>
  </si>
  <si>
    <t>Lengte</t>
  </si>
  <si>
    <r>
      <rPr>
        <sz val="11"/>
        <color theme="1"/>
        <rFont val="Calibri"/>
        <family val="2"/>
        <scheme val="minor"/>
      </rPr>
      <t>Dolžina</t>
    </r>
  </si>
  <si>
    <t>Längd</t>
  </si>
  <si>
    <t>Længde</t>
  </si>
  <si>
    <t>Lengde</t>
  </si>
  <si>
    <t>Duljina</t>
  </si>
  <si>
    <t>Length adjustment of side sections</t>
  </si>
  <si>
    <t>modifica lunghezza montanti laterali</t>
  </si>
  <si>
    <t>Zmiany wymiarów części bocznych</t>
  </si>
  <si>
    <t>Oldalelemek hosszváltozása</t>
  </si>
  <si>
    <t>Lengtewijziging zijdelen</t>
  </si>
  <si>
    <r>
      <rPr>
        <sz val="11"/>
        <color theme="1"/>
        <rFont val="Calibri"/>
        <family val="2"/>
        <scheme val="minor"/>
      </rPr>
      <t>Sprememba dolžine stranskih delov</t>
    </r>
  </si>
  <si>
    <t xml:space="preserve">Annan längd "sidodelar"? </t>
  </si>
  <si>
    <t>Ændring af sidevangernes længde</t>
  </si>
  <si>
    <t>Lengdeendring sidedeler</t>
  </si>
  <si>
    <t>Promjena duljine bočnih dijelova</t>
  </si>
  <si>
    <t>Lieferadresse:</t>
  </si>
  <si>
    <t>Delivery address:</t>
  </si>
  <si>
    <t>Adresse de livraison :</t>
  </si>
  <si>
    <t>indirizzo di consegna:</t>
  </si>
  <si>
    <t>Adres dostawy:</t>
  </si>
  <si>
    <t>Szállítási cím:</t>
  </si>
  <si>
    <t>Leveringsadres:</t>
  </si>
  <si>
    <r>
      <rPr>
        <sz val="11"/>
        <color theme="1"/>
        <rFont val="Calibri"/>
        <family val="2"/>
        <scheme val="minor"/>
      </rPr>
      <t>Naslov za dostavo:</t>
    </r>
  </si>
  <si>
    <t>Leveransadress:</t>
  </si>
  <si>
    <t>Leveringsadresse:</t>
  </si>
  <si>
    <t>Adresa za dostavu:</t>
  </si>
  <si>
    <t>Links</t>
  </si>
  <si>
    <t>Left</t>
  </si>
  <si>
    <t>sinistra</t>
  </si>
  <si>
    <t>lewo</t>
  </si>
  <si>
    <t>Bal</t>
  </si>
  <si>
    <r>
      <rPr>
        <sz val="11"/>
        <color theme="1"/>
        <rFont val="Calibri"/>
        <family val="2"/>
        <scheme val="minor"/>
      </rPr>
      <t>Levo</t>
    </r>
  </si>
  <si>
    <t>Vänster</t>
  </si>
  <si>
    <t>Venstre</t>
  </si>
  <si>
    <t>Linkovi</t>
  </si>
  <si>
    <t>Mengenermittlung/Anfrage</t>
  </si>
  <si>
    <t>Question / Quantités requises</t>
  </si>
  <si>
    <t>calcolo quantità/richiesta</t>
  </si>
  <si>
    <t>Szacunek ilościowy /Zapytanie</t>
  </si>
  <si>
    <t>Mennyiségszámítás/Érdeklődés</t>
  </si>
  <si>
    <t>Bepaling aantal / aanvraag</t>
  </si>
  <si>
    <r>
      <rPr>
        <sz val="11"/>
        <color theme="1"/>
        <rFont val="Calibri"/>
        <family val="2"/>
        <scheme val="minor"/>
      </rPr>
      <t>Ugotavljanje količin/povpraševanje</t>
    </r>
  </si>
  <si>
    <t>Mängdberäkning/förfrågan</t>
  </si>
  <si>
    <t>Mengderegistrering/forespørsel</t>
  </si>
  <si>
    <t>Izračun količina/upit</t>
  </si>
  <si>
    <t>mit Treibgut</t>
  </si>
  <si>
    <t>with floating debris</t>
  </si>
  <si>
    <t>con detriti</t>
  </si>
  <si>
    <t>ze szczątkami niesionymi przez wodę</t>
  </si>
  <si>
    <t>hordalékkal</t>
  </si>
  <si>
    <t>Met drijvend materiaal</t>
  </si>
  <si>
    <r>
      <rPr>
        <sz val="11"/>
        <color theme="1"/>
        <rFont val="Calibri"/>
        <family val="2"/>
        <scheme val="minor"/>
      </rPr>
      <t>z naplavinami</t>
    </r>
  </si>
  <si>
    <t>Flytande skräp</t>
  </si>
  <si>
    <t>med drivende genstande</t>
  </si>
  <si>
    <t>Med drivgods</t>
  </si>
  <si>
    <t>s naplavinom</t>
  </si>
  <si>
    <t>Montageart</t>
  </si>
  <si>
    <t>Type of assembly</t>
  </si>
  <si>
    <t>Type de pose</t>
  </si>
  <si>
    <t>tipo di montaggio</t>
  </si>
  <si>
    <t>Sposób montażu</t>
  </si>
  <si>
    <t>Beépítési mód</t>
  </si>
  <si>
    <t>Montagewijze</t>
  </si>
  <si>
    <r>
      <rPr>
        <sz val="11"/>
        <rFont val="Calibri"/>
        <family val="2"/>
        <scheme val="minor"/>
      </rPr>
      <t>Vrsta montaže</t>
    </r>
  </si>
  <si>
    <t>Monteringstyp</t>
  </si>
  <si>
    <t>Arten af montering</t>
  </si>
  <si>
    <t>Monteringstype</t>
  </si>
  <si>
    <t>Način montaže</t>
  </si>
  <si>
    <t>Montagehilfe Bodenhülse</t>
  </si>
  <si>
    <t>Assembly aid ground sleeve</t>
  </si>
  <si>
    <t>dima di montaggio per i piantoni</t>
  </si>
  <si>
    <t>Przyrząd montażowy tulei</t>
  </si>
  <si>
    <t xml:space="preserve">Padlóhüvely beépítősablon  </t>
  </si>
  <si>
    <t>Montagehulp bodemhuls</t>
  </si>
  <si>
    <r>
      <rPr>
        <sz val="11"/>
        <rFont val="Calibri"/>
        <family val="2"/>
        <scheme val="minor"/>
      </rPr>
      <t>Montažni pripomoček za talno pušo</t>
    </r>
  </si>
  <si>
    <t>Monteringshjälpmedel markhylsa</t>
  </si>
  <si>
    <t>MONTAGEHJÆLP TIL bundmuffer</t>
  </si>
  <si>
    <t>Monteringshjelp jordanker</t>
  </si>
  <si>
    <t>Pomagalo za montažu podne čaške</t>
  </si>
  <si>
    <t>Multiplikator</t>
  </si>
  <si>
    <t>Multiplier</t>
  </si>
  <si>
    <t>Coefficient multiplicateur</t>
  </si>
  <si>
    <t>moltiplicatore</t>
  </si>
  <si>
    <t>mnożnik</t>
  </si>
  <si>
    <t>Szorzó</t>
  </si>
  <si>
    <t>Multiplicator</t>
  </si>
  <si>
    <r>
      <rPr>
        <sz val="11"/>
        <color theme="1"/>
        <rFont val="Calibri"/>
        <family val="2"/>
        <scheme val="minor"/>
      </rPr>
      <t>Multiplikator</t>
    </r>
  </si>
  <si>
    <t>Name:</t>
  </si>
  <si>
    <t>Nom :</t>
  </si>
  <si>
    <t>nome:</t>
  </si>
  <si>
    <t>Nazwisko:</t>
  </si>
  <si>
    <t>Név:</t>
  </si>
  <si>
    <t>Naam:</t>
  </si>
  <si>
    <r>
      <rPr>
        <sz val="11"/>
        <color theme="1"/>
        <rFont val="Calibri"/>
        <family val="2"/>
        <scheme val="minor"/>
      </rPr>
      <t>Ime:</t>
    </r>
  </si>
  <si>
    <t>Namn:</t>
  </si>
  <si>
    <t>Navn:</t>
  </si>
  <si>
    <t>Ime:</t>
  </si>
  <si>
    <t>Niederhalter Dammbalken:max.1750</t>
  </si>
  <si>
    <t>Downholder for stop logs: max. 1750</t>
  </si>
  <si>
    <t>Poteau intermédiaire de renfort pour les batardeaux : max. 1 750 mm</t>
  </si>
  <si>
    <t>paletto di rinforzo sponde:max.1750</t>
  </si>
  <si>
    <t>Element trzymający belki: maks. 1750 mm</t>
  </si>
  <si>
    <t>Gátgerenda leszorítóelem:max.1750</t>
  </si>
  <si>
    <t>Neerhouder dambalk: max. 1750</t>
  </si>
  <si>
    <r>
      <rPr>
        <sz val="11"/>
        <rFont val="Calibri"/>
        <family val="2"/>
        <scheme val="minor"/>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</si>
  <si>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</si>
  <si>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</si>
  <si>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</si>
  <si>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</si>
  <si>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</si>
  <si>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Downholder incl. clamping element, embedded anchor and threaded rod</t>
  </si>
  <si>
    <t>Poteau intermédiaire de renfort ; pièce de serrage, dispositif d’ancrage et tige filetée compris</t>
  </si>
  <si>
    <t>paletto di rinforzo incl. tenditore, vite di ancoraggio e asta filettata</t>
  </si>
  <si>
    <t>Zacisk przytrzymujący wraz zelementem zaciskowym, kotwą zespoloną i prętem gwintowanym </t>
  </si>
  <si>
    <t>Leszorítóelem feszítőelemmel, lehorgonyzóval és menetes szárral</t>
  </si>
  <si>
    <t>Neerhouder incl. Fixeerstuk, verbindingsanker en draadstang</t>
  </si>
  <si>
    <r>
      <rPr>
        <sz val="11"/>
        <color theme="1"/>
        <rFont val="Calibri"/>
        <family val="2"/>
        <scheme val="minor"/>
      </rPr>
      <t>Držalo, vključno z vpenjalnim kosom, sidrom in navojno palico</t>
    </r>
  </si>
  <si>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</si>
  <si>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</si>
  <si>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</si>
  <si>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</si>
  <si>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</si>
  <si>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</si>
  <si>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protezione singola apertura</t>
  </si>
  <si>
    <t>Ochrona obiektowa</t>
  </si>
  <si>
    <t>Épületvédelem</t>
  </si>
  <si>
    <t>Objectbescherming</t>
  </si>
  <si>
    <r>
      <rPr>
        <sz val="11"/>
        <color theme="1"/>
        <rFont val="Calibri"/>
        <family val="2"/>
        <scheme val="minor"/>
      </rPr>
      <t>Zaščita objektov</t>
    </r>
  </si>
  <si>
    <t>Objektskydd</t>
  </si>
  <si>
    <t>Beskyttelse mod genstande</t>
  </si>
  <si>
    <t>Objektvern</t>
  </si>
  <si>
    <t>Zaštita objekata</t>
  </si>
  <si>
    <t>Ort:</t>
  </si>
  <si>
    <t>Ville :</t>
  </si>
  <si>
    <t>luogo:</t>
  </si>
  <si>
    <t>Miejscowość:</t>
  </si>
  <si>
    <t>Helység:</t>
  </si>
  <si>
    <t>Plaats:</t>
  </si>
  <si>
    <r>
      <rPr>
        <sz val="11"/>
        <color theme="1"/>
        <rFont val="Calibri"/>
        <family val="2"/>
        <scheme val="minor"/>
      </rPr>
      <t>Kraj:</t>
    </r>
  </si>
  <si>
    <t>Plats:</t>
  </si>
  <si>
    <t>Sted:</t>
  </si>
  <si>
    <t>Mjesto:</t>
  </si>
  <si>
    <t>Plan-Dammbalken</t>
  </si>
  <si>
    <t>Stop logs plan</t>
  </si>
  <si>
    <t>disegno-sponda</t>
  </si>
  <si>
    <t>Projektowanie belez zaporowych</t>
  </si>
  <si>
    <t>Gátgerenda-terv</t>
  </si>
  <si>
    <t>Geplande dambalk</t>
  </si>
  <si>
    <r>
      <rPr>
        <sz val="11"/>
        <color theme="1"/>
        <rFont val="Calibri"/>
        <family val="2"/>
        <scheme val="minor"/>
      </rPr>
      <t>Ravna zajezitvena lamela</t>
    </r>
  </si>
  <si>
    <r>
      <rPr>
        <sz val="11"/>
        <rFont val="Calibri"/>
        <family val="2"/>
        <scheme val="minor"/>
      </rPr>
      <t>Ritning-</t>
    </r>
    <r>
      <rPr>
        <sz val="11"/>
        <color theme="1"/>
        <rFont val="Calibri"/>
        <family val="2"/>
        <scheme val="minor"/>
      </rPr>
      <t>DÄMMBALK</t>
    </r>
  </si>
  <si>
    <t>Plan-dæmningsbjælker</t>
  </si>
  <si>
    <t>Plan-bjelkestengsel</t>
  </si>
  <si>
    <t>Ravna daska brane</t>
  </si>
  <si>
    <t>PREFA HOCHWASSERSCHUTZ SYSTEM</t>
  </si>
  <si>
    <t>PREFA FLOOD PROTECTION SYSTEM</t>
  </si>
  <si>
    <t>SYSTÈME PREFA DE PROTECTION CONTRE LES CRUES</t>
  </si>
  <si>
    <t>PREFA SISTEMA ANTI-ESONDAZIONE</t>
  </si>
  <si>
    <t>SYSTEM OCHRONY PRZECIWPOWODZIOWEJ PREFA</t>
  </si>
  <si>
    <t>PREFA ÁRVÍZVÉDELMI RENDSZER</t>
  </si>
  <si>
    <t>PREFA SYSTEEM VOOR HOOGWATERBESCHERMING</t>
  </si>
  <si>
    <r>
      <rPr>
        <sz val="11"/>
        <color theme="1"/>
        <rFont val="Calibri"/>
        <family val="2"/>
        <scheme val="minor"/>
      </rPr>
      <t>SISTEM PROTIPOPLAVNE ZAŠČITE PREFA</t>
    </r>
  </si>
  <si>
    <t>PREFA System för Översvämningsskydd</t>
  </si>
  <si>
    <t>PREFA HØJVANDSBESKYTTELSE</t>
  </si>
  <si>
    <t>PREFA FLOMBESKYTTELSESSYSTEM</t>
  </si>
  <si>
    <t>PREFA SUSTAV ZAŠTITE OD POPLAVE</t>
  </si>
  <si>
    <t>Preis</t>
  </si>
  <si>
    <t>Preis exkl.MwSt</t>
  </si>
  <si>
    <t>Price excl. VAT</t>
  </si>
  <si>
    <t>Prix sans TVA</t>
  </si>
  <si>
    <t>prezzo senza IVA</t>
  </si>
  <si>
    <t>cena bez podatku VAT</t>
  </si>
  <si>
    <t>Nettó ár</t>
  </si>
  <si>
    <t>Prijs excl. btw</t>
  </si>
  <si>
    <r>
      <rPr>
        <sz val="11"/>
        <color theme="1"/>
        <rFont val="Calibri"/>
        <family val="2"/>
        <scheme val="minor"/>
      </rPr>
      <t>Cena brez DDV</t>
    </r>
  </si>
  <si>
    <t>Pris exkl. moms</t>
  </si>
  <si>
    <t>Pris ekskl. moms</t>
  </si>
  <si>
    <t>Pris ekskl. mva.</t>
  </si>
  <si>
    <t>Cijena bez PDV-a</t>
  </si>
  <si>
    <t>Preis pro lfm od. Stk</t>
  </si>
  <si>
    <t>Price per rm/pc</t>
  </si>
  <si>
    <t>Prix au mètre ou à la pièce</t>
  </si>
  <si>
    <t>€/metro - €/pezzo</t>
  </si>
  <si>
    <t>cena za mb lub sztukę</t>
  </si>
  <si>
    <t>Ár / fm, vagy db</t>
  </si>
  <si>
    <t>Prijs per strekkende meter of per stuk</t>
  </si>
  <si>
    <r>
      <rPr>
        <sz val="11"/>
        <color theme="1"/>
        <rFont val="Calibri"/>
        <family val="2"/>
        <scheme val="minor"/>
      </rPr>
      <t>Cena na tm ali kos</t>
    </r>
  </si>
  <si>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</si>
  <si>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</si>
  <si>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</si>
  <si>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</si>
  <si>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</si>
  <si>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</si>
  <si>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</si>
  <si>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</si>
  <si>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Wysokość profilu za wysoka!</t>
  </si>
  <si>
    <t>Túl magas profilok!</t>
  </si>
  <si>
    <t>Profielhoogte te hoog!</t>
  </si>
  <si>
    <r>
      <rPr>
        <sz val="11"/>
        <color theme="1"/>
        <rFont val="Calibri"/>
        <family val="2"/>
        <scheme val="minor"/>
      </rPr>
      <t>Prevelika višina profila!</t>
    </r>
  </si>
  <si>
    <t>Profilhöjd för hög!</t>
  </si>
  <si>
    <t>Profilhøjde for høj!</t>
  </si>
  <si>
    <t>Profilhøyde for høy!</t>
  </si>
  <si>
    <t>Visina profila previsoka!</t>
  </si>
  <si>
    <t>erf. Profilhöhe f. Spanner:</t>
  </si>
  <si>
    <t>Profile height:</t>
  </si>
  <si>
    <t>Hauteur de profil requise pour les pièces de serrage :</t>
  </si>
  <si>
    <t>Wysokość profilu:</t>
  </si>
  <si>
    <t>Profilmagasság:</t>
  </si>
  <si>
    <t>Profielhoogte:</t>
  </si>
  <si>
    <r>
      <rPr>
        <sz val="11"/>
        <color theme="1"/>
        <rFont val="Calibri"/>
        <family val="2"/>
        <scheme val="minor"/>
      </rPr>
      <t>Višina profila:</t>
    </r>
  </si>
  <si>
    <t>Profilhöjd:</t>
  </si>
  <si>
    <t>Profilhøjde:</t>
  </si>
  <si>
    <t>Profilhøyde:</t>
  </si>
  <si>
    <t>Visina profila:</t>
  </si>
  <si>
    <t>Rabatt</t>
  </si>
  <si>
    <t>Discount</t>
  </si>
  <si>
    <t>sconto</t>
  </si>
  <si>
    <t>rabat</t>
  </si>
  <si>
    <t>Kedvezmény</t>
  </si>
  <si>
    <t>Korting</t>
  </si>
  <si>
    <r>
      <rPr>
        <sz val="11"/>
        <color theme="1"/>
        <rFont val="Calibri"/>
        <family val="2"/>
        <scheme val="minor"/>
      </rPr>
      <t>Popust</t>
    </r>
  </si>
  <si>
    <t>Rabat</t>
  </si>
  <si>
    <t>RAL oder PREFA Farbe:</t>
  </si>
  <si>
    <t>RAL or PREFA colour:</t>
  </si>
  <si>
    <t>Couleur RAL ou PREFA :</t>
  </si>
  <si>
    <t>RAL / colore PREFA:</t>
  </si>
  <si>
    <t>kolor wg RAL lub kolor PREFA:</t>
  </si>
  <si>
    <t>RAL, vagy PREFA szín:</t>
  </si>
  <si>
    <t>RAL- of PREFA-kleur:</t>
  </si>
  <si>
    <r>
      <rPr>
        <sz val="11"/>
        <color theme="1"/>
        <rFont val="Calibri"/>
        <family val="2"/>
        <scheme val="minor"/>
      </rPr>
      <t>Barva RAL ali PREFA:</t>
    </r>
  </si>
  <si>
    <t>RAL- eller PREFA-färg:</t>
  </si>
  <si>
    <t>RAL- eller PREFA-farve:</t>
  </si>
  <si>
    <t>RAL- eller PREFA-farge:</t>
  </si>
  <si>
    <t>RAL ili PREFA boja:</t>
  </si>
  <si>
    <t>Rechts</t>
  </si>
  <si>
    <t>Right</t>
  </si>
  <si>
    <t>destra</t>
  </si>
  <si>
    <t>prawo</t>
  </si>
  <si>
    <t>Jobb</t>
  </si>
  <si>
    <r>
      <rPr>
        <sz val="11"/>
        <color theme="1"/>
        <rFont val="Calibri"/>
        <family val="2"/>
        <scheme val="minor"/>
      </rPr>
      <t>Desno</t>
    </r>
  </si>
  <si>
    <t>Höger</t>
  </si>
  <si>
    <t>Højre</t>
  </si>
  <si>
    <t>Høyre</t>
  </si>
  <si>
    <t>Desno</t>
  </si>
  <si>
    <t>Rundprofil</t>
  </si>
  <si>
    <t>Round profile</t>
  </si>
  <si>
    <t>profilo circolare</t>
  </si>
  <si>
    <t>Profil okrągły (kolumna środkowa)</t>
  </si>
  <si>
    <t>Körprofil</t>
  </si>
  <si>
    <t>Rondprofiel</t>
  </si>
  <si>
    <r>
      <rPr>
        <sz val="11"/>
        <color theme="1"/>
        <rFont val="Calibri"/>
        <family val="2"/>
        <scheme val="minor"/>
      </rPr>
      <t>Okrogli profil</t>
    </r>
  </si>
  <si>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</si>
  <si>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</si>
  <si>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</si>
  <si>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</si>
  <si>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</si>
  <si>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</si>
  <si>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Profil okrągły 50 bez uszczelki, nawiercona i okrawana</t>
  </si>
  <si>
    <t>Körprofil 50, tömítés nélkül, furatolva és sorjázva</t>
  </si>
  <si>
    <t>Rondprofiel 50 excl. afdichting, geboord en afgebraamd</t>
  </si>
  <si>
    <r>
      <rPr>
        <sz val="11"/>
        <color theme="1"/>
        <rFont val="Calibri"/>
        <family val="2"/>
        <scheme val="minor"/>
      </rPr>
      <t>Okrogli profil 50 brez tesnila, z izvrtinami in posnetimi robovi</t>
    </r>
  </si>
  <si>
    <t>Rundprofil 50 exkl. tätning, borrad och avgradad</t>
  </si>
  <si>
    <t>Rund profil 50 ekskl. tætning, forboret og afgratet</t>
  </si>
  <si>
    <t>Rundprofil 50 ekskl. tetning, boret og avgradet</t>
  </si>
  <si>
    <t>Okrugli profil 50 bez brtve, bušen i s obrađenim rubovima</t>
  </si>
  <si>
    <t>Round profile 50 special length excl. seal, drilled and deburred</t>
  </si>
  <si>
    <t>Profil rond 50, longueur personnalisée, fourni sans joint, percé et ébavuré</t>
  </si>
  <si>
    <t>profilo circolare 50 lunghezza fuori standard, esclusa guarnizione, forato e sbavato</t>
  </si>
  <si>
    <t>Profil okrągły 50 długość specjalna bez uszczelki, nawiercona i okrawana</t>
  </si>
  <si>
    <t>Körprofil 50,egyedi hosszméret, tömítés nélkül, furatolva és sorjázva</t>
  </si>
  <si>
    <t>Rondprofiel 50 aangepaste lengte excl. afdichting, geboord en afgebraamd</t>
  </si>
  <si>
    <r>
      <rPr>
        <sz val="11"/>
        <color theme="1"/>
        <rFont val="Calibri"/>
        <family val="2"/>
        <scheme val="minor"/>
      </rPr>
      <t>Okrogli profil 50, posebna dolžina, brez tesnila, z izvrtinami in posnetimi robovi</t>
    </r>
  </si>
  <si>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</si>
  <si>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</si>
  <si>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</si>
  <si>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</si>
  <si>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</si>
  <si>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</si>
  <si>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</si>
  <si>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</si>
  <si>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Profil okrągły 50-90° bez uszczelki, nawiercony i okrawany</t>
  </si>
  <si>
    <t>Körprofil 50-90° tömítés nélkül, furatolva és sorjázva</t>
  </si>
  <si>
    <t>Rondprofiel 50-90° excl. afdichting, geboord en afgebraamd</t>
  </si>
  <si>
    <r>
      <rPr>
        <sz val="11"/>
        <color theme="1"/>
        <rFont val="Calibri"/>
        <family val="2"/>
        <scheme val="minor"/>
      </rPr>
      <t>Okrogli profil 50–90°, brez tesnila, z izvrtinami in posnetimi robovi</t>
    </r>
  </si>
  <si>
    <t>Rundprofil 50–90° exkl. tätning, borrad och avgradad</t>
  </si>
  <si>
    <t>Rund profil 50-90 ° ekskl. tætning, forboret og afgratet</t>
  </si>
  <si>
    <t>Rundprofil 50-90° ekskl. tetning, boret og avgradet</t>
  </si>
  <si>
    <t>Okrugli profil 50-90° bez brtve, bušen i s obrađenim rubovima</t>
  </si>
  <si>
    <t>Round profile 50–90° special length excl. seal, drilled and deburred</t>
  </si>
  <si>
    <t>Profil rond 50 (90°), longueur personnalisée, fourni sans joint, percé et ébavuré</t>
  </si>
  <si>
    <t>profilo circolare 50-90° lunghezza fuori standard, esclusa guarnizione, forato e sbavato</t>
  </si>
  <si>
    <t>Profil okrągły 50-90° długość specjalna bez uszczelki, nawiercony i okrawany</t>
  </si>
  <si>
    <t>Körprofil 50-90° tömítés nélkül, egyedi hosszméret, furatolva és sorjázva</t>
  </si>
  <si>
    <t>Rondprofiel 50-90° aangepaste lengte excl. afdichting, geboord en afgebraamd</t>
  </si>
  <si>
    <r>
      <rPr>
        <sz val="11"/>
        <color theme="1"/>
        <rFont val="Calibri"/>
        <family val="2"/>
        <scheme val="minor"/>
      </rPr>
      <t>Okrogli profil 50–90°, posebna dolžina, brez tesnila, z izvrtinami in posnetimi robovi</t>
    </r>
  </si>
  <si>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</si>
  <si>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</si>
  <si>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</si>
  <si>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</si>
  <si>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</si>
  <si>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</si>
  <si>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</si>
  <si>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</si>
  <si>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Profil okrągły 50-Vario bez uszczelki, nawiercony i okrawany</t>
  </si>
  <si>
    <t>Körprofil 50-Vario tömítés nélkül, furatolva és sorjázva</t>
  </si>
  <si>
    <t>Rondprofiel 50-Vario excl. afdichting, geboord en afgebraamd</t>
  </si>
  <si>
    <r>
      <rPr>
        <sz val="11"/>
        <color theme="1"/>
        <rFont val="Calibri"/>
        <family val="2"/>
        <scheme val="minor"/>
      </rPr>
      <t>Okrogli profil 50-Vario, brez tesnila, z izvrtinami in posnetimi robovi</t>
    </r>
  </si>
  <si>
    <t>Rundprofil 50-Vario exkl. tätning, borrad och avgradad</t>
  </si>
  <si>
    <t>Rund profil 50-Vario ekskl. tætning, forboret og afgratet</t>
  </si>
  <si>
    <t>Rundprofil 50-Vario ekskl. tetning, boret og avgradet</t>
  </si>
  <si>
    <t>Okrugli profil 50-vario bez brtve, bušen i s obrađenim rubovima</t>
  </si>
  <si>
    <t>Round profile 50 Vario special length excl. seal, drilled and deburred</t>
  </si>
  <si>
    <t>Profil rond 50 (Vario), longueur personnalisée, fourni sans joint, percé et ébavuré</t>
  </si>
  <si>
    <t>profilo circolare 50-vario lunghezza fuori standard, esclusa guarnizione, forato e sbavato</t>
  </si>
  <si>
    <t>Profil okrągły 50-Vario, długość specjalna bez uszczelki, nawiercony i okrawany</t>
  </si>
  <si>
    <t>Körprofil 50-Vario tömítés nélkül, egyedi hosszméret, furatolva és sorjázva</t>
  </si>
  <si>
    <t>Rondprofiel 50-Vario aangepaste lengte excl. afdichting, geboord en afgebraamd</t>
  </si>
  <si>
    <r>
      <rPr>
        <sz val="11"/>
        <color theme="1"/>
        <rFont val="Calibri"/>
        <family val="2"/>
        <scheme val="minor"/>
      </rPr>
      <t>Okrogli profil 50-Vario, posebna dolžina, brez tesnila, z izvrtinami in posnetimi robovi</t>
    </r>
  </si>
  <si>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</si>
  <si>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</si>
  <si>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</si>
  <si>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</si>
  <si>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</si>
  <si>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</si>
  <si>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</si>
  <si>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</si>
  <si>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Profil okrągły 80 bez uszczelki, nawiercony i okrawany</t>
  </si>
  <si>
    <t>Körprofil 80, tömítés nélkül, furatolva és sorjázva</t>
  </si>
  <si>
    <t>Rondprofiel 80 excl. afdichting, geboord en afgebraamd</t>
  </si>
  <si>
    <r>
      <rPr>
        <sz val="11"/>
        <color theme="1"/>
        <rFont val="Calibri"/>
        <family val="2"/>
        <scheme val="minor"/>
      </rPr>
      <t>Okrogli profil 80 brez tesnila, z izvrtinami in posnetimi robovi</t>
    </r>
  </si>
  <si>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</si>
  <si>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</si>
  <si>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</si>
  <si>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</si>
  <si>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</si>
  <si>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</si>
  <si>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</si>
  <si>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</si>
  <si>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Profil okrągły 80 gr. bez uszczelki, nawiercony i okrawany</t>
  </si>
  <si>
    <t>Körprofil 80 nagy, tömítés nélkül, furatolva és sorjázva</t>
  </si>
  <si>
    <t>Rondprofiel 80 groot excl. afdichting, geboord en afgebraamd</t>
  </si>
  <si>
    <r>
      <rPr>
        <sz val="11"/>
        <color theme="1"/>
        <rFont val="Calibri"/>
        <family val="2"/>
        <scheme val="minor"/>
      </rPr>
      <t>Okrogli profil 80°, brez tesnila, z izvrtinami in posnetimi robovi</t>
    </r>
  </si>
  <si>
    <t>Rundprofil 80 stor exkl. tätning, borrad och avgradad</t>
  </si>
  <si>
    <t>Rund profil 80 stor, ekskl. tætning, forboret og afgratet</t>
  </si>
  <si>
    <t>Rundprofil 80 str. ekskl. tetning, boret og avgradet</t>
  </si>
  <si>
    <t>Okrugli profil 80 vel. bez brtve, bušen i s obrađenim rubovima</t>
  </si>
  <si>
    <t>Round profile 80 large special length excl. seal, drilled and deburred</t>
  </si>
  <si>
    <t>Profil rond 80 (grand format), longueur personnalisée, fourni sans joint, percé et ébavuré</t>
  </si>
  <si>
    <t>profilo circolare 80 gr. lunghezza fuori standard, esclusa guarnizione, forato e sbavato</t>
  </si>
  <si>
    <t>Profil okrągły 80 gr. długość specjalna bez uszczelki, nawiercony i okrawany</t>
  </si>
  <si>
    <t>Körprofil 80 nagy, egyedi hosszméretben, tömítés nélkül, furatolva és sorjázva</t>
  </si>
  <si>
    <t>Rondprofiel 80 groot aangepaste lengte excl. afdichting, geboord en afgebraamd</t>
  </si>
  <si>
    <r>
      <rPr>
        <sz val="11"/>
        <color theme="1"/>
        <rFont val="Calibri"/>
        <family val="2"/>
        <scheme val="minor"/>
      </rPr>
      <t>Okrogli profil 80°, Posebna dolžina brez tesnila, z izvrtinami in posnetimi robovi</t>
    </r>
  </si>
  <si>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</si>
  <si>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</si>
  <si>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</si>
  <si>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</si>
  <si>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Round profile 80 special length excl. seal, drilled and deburred</t>
  </si>
  <si>
    <t>Profil rond 80, longueur personnalisée, fourni sans joint, percé et ébavuré</t>
  </si>
  <si>
    <t>profilo circolare 80 lunghezza fuori standard, esclusa guarnizione, forato e sbavato</t>
  </si>
  <si>
    <t>Profil okrągły 80 gr. Długość specjalna bez uszczelki, nawiercony i okrawany</t>
  </si>
  <si>
    <t>Körprofil 80, egyedi hosszméretben, tömítés nélkül, furatolva és sorjázva</t>
  </si>
  <si>
    <t>Rondprofiel 80 aangepaste lengte excl. afdichting, geboord en afgebraamd</t>
  </si>
  <si>
    <r>
      <rPr>
        <sz val="11"/>
        <color theme="1"/>
        <rFont val="Calibri"/>
        <family val="2"/>
        <scheme val="minor"/>
      </rPr>
      <t>Okrogli profil 80, posebna dolžina, brez tesnila, z izvrtinami in posnetimi robovi</t>
    </r>
  </si>
  <si>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</si>
  <si>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</si>
  <si>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</si>
  <si>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</si>
  <si>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</si>
  <si>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</si>
  <si>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</si>
  <si>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</si>
  <si>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Profil okrągły 80-90° bez uszczelki, nawiercony i okrawany</t>
  </si>
  <si>
    <t>Körprofil 80-90° tömítés nélkül, furatolva és sorjázva</t>
  </si>
  <si>
    <t>Rondprofiel 80-90° excl. afdichting, geboord en afgebraamd</t>
  </si>
  <si>
    <r>
      <rPr>
        <sz val="11"/>
        <color theme="1"/>
        <rFont val="Calibri"/>
        <family val="2"/>
        <scheme val="minor"/>
      </rPr>
      <t>Okrogli profil 80–90°, brez tesnila, z izvrtinami in posnetimi robovi</t>
    </r>
  </si>
  <si>
    <t>Rundprofil 80–90° exkl. tätning, borrad och avgradad</t>
  </si>
  <si>
    <t>Rund profil 80-90 ° ekskl. tætning, forboret og afgratet</t>
  </si>
  <si>
    <t>Rundprofil 80-90° ekskl. tetning, boret og avgradet</t>
  </si>
  <si>
    <t>Okrugli profil 80-90° bez brtve, bušen i s obrađenim rubovima</t>
  </si>
  <si>
    <t>Round profile 80–90° special length excl. seal, drilled and deburred</t>
  </si>
  <si>
    <t>Profil rond 80 (90°), longueur personnalisée, fourni sans joint, percé et ébavuré</t>
  </si>
  <si>
    <t>profilo circolare 80-90° lunghezza fuori standard, esclusa guarnizione, forato e sbavato</t>
  </si>
  <si>
    <t>Profil okrągły 80-90° długość specjalna bez uszczelki, nawiercony i okrawany</t>
  </si>
  <si>
    <t>Körprofil 80-90° tömítés nélkül, egyedi hosszméret, furatolva és sorjázva</t>
  </si>
  <si>
    <t>Rondprofiel 80-90° aangepaste lengte excl. afdichting, geboord en afgebraamd</t>
  </si>
  <si>
    <r>
      <rPr>
        <sz val="11"/>
        <color theme="1"/>
        <rFont val="Calibri"/>
        <family val="2"/>
        <scheme val="minor"/>
      </rPr>
      <t>Okrogli profil 80–90°, posebna dolžina, brez tesnila, z izvrtinami in posnetimi robovi</t>
    </r>
  </si>
  <si>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</si>
  <si>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</si>
  <si>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</si>
  <si>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</si>
  <si>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</si>
  <si>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</si>
  <si>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</si>
  <si>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</si>
  <si>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Profil okrągły 80 Vario bez uszczelki, nawiercony i okrawany</t>
  </si>
  <si>
    <t>Körprofil 80-Vario tömítés nélkül, furatolva és sorjázva</t>
  </si>
  <si>
    <t>Rondprofiel 80-Vario excl. afdichting, geboord en afgebraamd</t>
  </si>
  <si>
    <r>
      <rPr>
        <sz val="11"/>
        <color theme="1"/>
        <rFont val="Calibri"/>
        <family val="2"/>
        <scheme val="minor"/>
      </rPr>
      <t>Okrogli profil 80-Vario, brez tesnila, z izvrtinami in posnetimi robovi</t>
    </r>
  </si>
  <si>
    <t>Rundprofil 80-Vario exkl. tätning, borrad och avgradad</t>
  </si>
  <si>
    <t>Rund profil 80-Vario ekskl. tætning, forboret og afgratet</t>
  </si>
  <si>
    <t>Rundprofil 80-Vario ekskl. tetning, boret og avgradet</t>
  </si>
  <si>
    <t>Okrugli profil 80-vario bez brtve, bušen i s obrađenim rubovima</t>
  </si>
  <si>
    <t>Round profile 80 Vario special length excl. seal, drilled and deburred</t>
  </si>
  <si>
    <t>Profil rond 80 (Vario), longueur personnalisée, fourni sans joint, percé et ébavuré</t>
  </si>
  <si>
    <t>profilo circolare 80-vario lunghezza fuori standard, esclusa guarnizione, forato e sbavato</t>
  </si>
  <si>
    <t>Profil okrągły 80-Vario, długość specjalna bez uszczelki, nawiercony i okrawany</t>
  </si>
  <si>
    <t>Körprofil 80-Vario tömítés nélkül, egyedi hosszméret, furatolva és sorjázva</t>
  </si>
  <si>
    <t>Rondprofiel 80-Vario aangepaste lengte excl. afdichting, geboord en afgebraamd</t>
  </si>
  <si>
    <r>
      <rPr>
        <sz val="11"/>
        <color theme="1"/>
        <rFont val="Calibri"/>
        <family val="2"/>
        <scheme val="minor"/>
      </rPr>
      <t>Okrogli profil 80-Vario, posebna dolžina, brez tesnila, z izvrtinami in posnetimi robovi</t>
    </r>
  </si>
  <si>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</si>
  <si>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</si>
  <si>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</si>
  <si>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</si>
  <si>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</si>
  <si>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</si>
  <si>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profilo circolare 90°</t>
  </si>
  <si>
    <t>Profil okrągły 90°</t>
  </si>
  <si>
    <t>Körprofil 90°</t>
  </si>
  <si>
    <t>Rondprofiel 90°</t>
  </si>
  <si>
    <r>
      <rPr>
        <sz val="11"/>
        <color theme="1"/>
        <rFont val="Calibri"/>
        <family val="2"/>
        <scheme val="minor"/>
      </rPr>
      <t>Okrogli profil 90°</t>
    </r>
  </si>
  <si>
    <t>Rund profil 90 °</t>
  </si>
  <si>
    <t>Okrugli profil 90°</t>
  </si>
  <si>
    <t>Rundprofil Groß</t>
  </si>
  <si>
    <t>Round profile large</t>
  </si>
  <si>
    <t>profilo circolare grande</t>
  </si>
  <si>
    <t>Profil okrągły duży</t>
  </si>
  <si>
    <t>Körprofil nagy</t>
  </si>
  <si>
    <t>Rondprofiel groot</t>
  </si>
  <si>
    <r>
      <rPr>
        <sz val="11"/>
        <color theme="1"/>
        <rFont val="Calibri"/>
        <family val="2"/>
        <scheme val="minor"/>
      </rPr>
      <t>Okrogli profil, velik</t>
    </r>
  </si>
  <si>
    <t>Rundprofil stor</t>
  </si>
  <si>
    <t>Rund profil, stor</t>
  </si>
  <si>
    <t>Okrugli profil veliki</t>
  </si>
  <si>
    <t>Rundprofil Vario</t>
  </si>
  <si>
    <t>Round profile Vario</t>
  </si>
  <si>
    <t>profilo circolare vario</t>
  </si>
  <si>
    <t>Profil okrągły Vario</t>
  </si>
  <si>
    <t>Körprofil Vario</t>
  </si>
  <si>
    <t>Rondprofiel Vario</t>
  </si>
  <si>
    <r>
      <rPr>
        <sz val="11"/>
        <color theme="1"/>
        <rFont val="Calibri"/>
        <family val="2"/>
        <scheme val="minor"/>
      </rPr>
      <t>Okrogli profil Vario</t>
    </r>
  </si>
  <si>
    <t>Rund profil, Vario</t>
  </si>
  <si>
    <t>Okrugli profil vario</t>
  </si>
  <si>
    <t>Side sections</t>
  </si>
  <si>
    <t>profilo laterale</t>
  </si>
  <si>
    <t>Części boczne</t>
  </si>
  <si>
    <t>Oldalsó elemek</t>
  </si>
  <si>
    <t>Zijdelen</t>
  </si>
  <si>
    <r>
      <rPr>
        <sz val="11"/>
        <rFont val="Calibri"/>
        <family val="2"/>
        <scheme val="minor"/>
      </rPr>
      <t>Stranski deli</t>
    </r>
  </si>
  <si>
    <t>Sidodelar</t>
  </si>
  <si>
    <t>Sidevanger</t>
  </si>
  <si>
    <t>Sidedeler</t>
  </si>
  <si>
    <t>Bočni dijelovi</t>
  </si>
  <si>
    <t>Service:</t>
  </si>
  <si>
    <t>Service :</t>
  </si>
  <si>
    <t>servizio:</t>
  </si>
  <si>
    <t>Usługa:</t>
  </si>
  <si>
    <t>Szerviz:</t>
  </si>
  <si>
    <r>
      <rPr>
        <sz val="11"/>
        <color theme="1"/>
        <rFont val="Calibri"/>
        <family val="2"/>
        <scheme val="minor"/>
      </rPr>
      <t>Storitve:</t>
    </r>
  </si>
  <si>
    <t>Tjänst:</t>
  </si>
  <si>
    <t>Usluga:</t>
  </si>
  <si>
    <t>Setzwerkzeug Verbundanker</t>
  </si>
  <si>
    <t>Setting tool embedded anchor</t>
  </si>
  <si>
    <t>Outil de pose pour dispositif d’ancrage</t>
  </si>
  <si>
    <t>Ancorante chimico</t>
  </si>
  <si>
    <t>Narzędzie do ustawiania kotew zespolonych</t>
  </si>
  <si>
    <t>Lehorgonyzóelem elhelyezőszerszám</t>
  </si>
  <si>
    <t>Plaatsingsgereedschap verbindingsanker</t>
  </si>
  <si>
    <r>
      <rPr>
        <sz val="11"/>
        <color theme="1"/>
        <rFont val="Calibri"/>
        <family val="2"/>
        <scheme val="minor"/>
      </rPr>
      <t>Montažno orodje za sidranje</t>
    </r>
  </si>
  <si>
    <t>Monteringsverktyg för kemankare</t>
  </si>
  <si>
    <t>Indstillingsværktøj kompositankre</t>
  </si>
  <si>
    <t>Setteverktøy kompoundanker</t>
  </si>
  <si>
    <t>Alat za postavljanje spojnih sidra</t>
  </si>
  <si>
    <t>Sicherungsschraube Abdeckung:</t>
  </si>
  <si>
    <t>Safety screw cover:</t>
  </si>
  <si>
    <t>Vis de sécurité pour cache de protection :</t>
  </si>
  <si>
    <t>vite di sicurezza copertura:</t>
  </si>
  <si>
    <t>Śruba blokująca pokrywę:</t>
  </si>
  <si>
    <t>Takaróelem biztosítócsavar:</t>
  </si>
  <si>
    <t>Borgbout afdekking:</t>
  </si>
  <si>
    <r>
      <rPr>
        <sz val="11"/>
        <rFont val="Calibri"/>
        <family val="2"/>
        <scheme val="minor"/>
      </rPr>
      <t>Varnostni vijak za pokrov:</t>
    </r>
  </si>
  <si>
    <t>Skruv, Täckplåt</t>
  </si>
  <si>
    <t>Holdeskrue dæksel:</t>
  </si>
  <si>
    <t>Låseskrue tildekking:</t>
  </si>
  <si>
    <t>Sigurnosni vijak pokrova:</t>
  </si>
  <si>
    <t>Sicherungsschraube für Abdeckung</t>
  </si>
  <si>
    <t>Safety screw for cover</t>
  </si>
  <si>
    <t>vite di sicurezza per la copertura</t>
  </si>
  <si>
    <t>Śruba blokująca do pokrywy</t>
  </si>
  <si>
    <t>Takaróelem biztosítócsavar</t>
  </si>
  <si>
    <t>Borgbout voor afdekking</t>
  </si>
  <si>
    <r>
      <rPr>
        <sz val="11"/>
        <rFont val="Calibri"/>
        <family val="2"/>
        <scheme val="minor"/>
      </rPr>
      <t>Varnostni vijak za pokrov</t>
    </r>
  </si>
  <si>
    <t>Skruv till Täckplåt</t>
  </si>
  <si>
    <t>Holdeskrue til dæksel:</t>
  </si>
  <si>
    <t>Låseskrue for tildekking</t>
  </si>
  <si>
    <t>Sigurnosni vijak za pokrov</t>
  </si>
  <si>
    <t>Sonderkosten</t>
  </si>
  <si>
    <t>Special costs</t>
  </si>
  <si>
    <t>Frais spéciaux</t>
  </si>
  <si>
    <t>costi extra</t>
  </si>
  <si>
    <t>Koszty specjalne</t>
  </si>
  <si>
    <t>Felárak</t>
  </si>
  <si>
    <t>Speciale kosten</t>
  </si>
  <si>
    <r>
      <rPr>
        <sz val="11"/>
        <rFont val="Calibri"/>
        <family val="2"/>
        <scheme val="minor"/>
      </rPr>
      <t>Posebni stroški</t>
    </r>
  </si>
  <si>
    <t>Särskilda kostnader</t>
  </si>
  <si>
    <t>Særlige omkostninger</t>
  </si>
  <si>
    <t>Spesialkostnader</t>
  </si>
  <si>
    <t>Posebni troškovi</t>
  </si>
  <si>
    <t>Sonderrabatt</t>
  </si>
  <si>
    <t>Special discount</t>
  </si>
  <si>
    <t>sconto speciale</t>
  </si>
  <si>
    <t>Rabat specjalny</t>
  </si>
  <si>
    <t>Egyedi kedvezmény</t>
  </si>
  <si>
    <t>Speciale korting</t>
  </si>
  <si>
    <r>
      <rPr>
        <sz val="11"/>
        <color theme="1"/>
        <rFont val="Calibri"/>
        <family val="2"/>
        <scheme val="minor"/>
      </rPr>
      <t>Posebni popust</t>
    </r>
  </si>
  <si>
    <t>Särskild rabatt</t>
  </si>
  <si>
    <t>Særrabat</t>
  </si>
  <si>
    <t>Spesialrabatt</t>
  </si>
  <si>
    <t>Posebni rabat</t>
  </si>
  <si>
    <t>Spannstück mit 6-Kantschraube:</t>
  </si>
  <si>
    <t>Clamping element with hex-cap screw:</t>
  </si>
  <si>
    <t>Pièce de serrage avec vis à six pans :</t>
  </si>
  <si>
    <t>tenditore con vite a testa esagonale:</t>
  </si>
  <si>
    <t>Element dociskowy ze śrubą z łbem 6-kątnym:</t>
  </si>
  <si>
    <t>Feszítőelem 6-lapfejű csavarral:</t>
  </si>
  <si>
    <t>Fixeerstuk met zeskantschroef:</t>
  </si>
  <si>
    <r>
      <rPr>
        <sz val="11"/>
        <color theme="1"/>
        <rFont val="Calibri"/>
        <family val="2"/>
        <scheme val="minor"/>
      </rPr>
      <t>Vpenjalni kos s 6-robim vijakom:</t>
    </r>
  </si>
  <si>
    <t>Spännstycke med sexkantsskruv:</t>
  </si>
  <si>
    <t>KLEMSTYKKE SIDE med 6-kantskrue:</t>
  </si>
  <si>
    <t>Zatezni element sa šesterokutnim vijkom:</t>
  </si>
  <si>
    <t>Spannstück mit Sterngriff:</t>
  </si>
  <si>
    <t>Clamping element with star grip screw:</t>
  </si>
  <si>
    <t>Pièce de serrage à poignée étoile :</t>
  </si>
  <si>
    <t>tenditore con manopola a stella:</t>
  </si>
  <si>
    <t>Feszítőelem csillagmarkolattal:</t>
  </si>
  <si>
    <t>Fixeerstuk met sterknop:</t>
  </si>
  <si>
    <r>
      <rPr>
        <sz val="11"/>
        <rFont val="Calibri"/>
        <family val="2"/>
        <scheme val="minor"/>
      </rPr>
      <t>Vpenjalni kos z zvezdastim gumbom:</t>
    </r>
  </si>
  <si>
    <t>Spännstycke med stjärngrepp:</t>
  </si>
  <si>
    <t>KLEMSTYKKE SIDE med stjernegrep:</t>
  </si>
  <si>
    <t>Zatezni element sa zvjezdastom ručkom:</t>
  </si>
  <si>
    <t>Sprache</t>
  </si>
  <si>
    <t>Language</t>
  </si>
  <si>
    <t>langue</t>
  </si>
  <si>
    <t>lingua</t>
  </si>
  <si>
    <t>Język</t>
  </si>
  <si>
    <t xml:space="preserve">Nyelv  </t>
  </si>
  <si>
    <t>Taal</t>
  </si>
  <si>
    <r>
      <rPr>
        <sz val="11"/>
        <color theme="1"/>
        <rFont val="Calibri"/>
        <family val="2"/>
        <scheme val="minor"/>
      </rPr>
      <t>Jezik</t>
    </r>
  </si>
  <si>
    <t>Språk</t>
  </si>
  <si>
    <t>Sprog</t>
  </si>
  <si>
    <t>Jezik</t>
  </si>
  <si>
    <t>Stand:</t>
  </si>
  <si>
    <t>Status:</t>
  </si>
  <si>
    <t>Version :</t>
  </si>
  <si>
    <t>Pozycja:</t>
  </si>
  <si>
    <t>Állapot:</t>
  </si>
  <si>
    <r>
      <rPr>
        <sz val="11"/>
        <color theme="1"/>
        <rFont val="Calibri"/>
        <family val="2"/>
        <scheme val="minor"/>
      </rPr>
      <t>Stanje:</t>
    </r>
  </si>
  <si>
    <t>Uppdaterad:</t>
  </si>
  <si>
    <t>Stanje:</t>
  </si>
  <si>
    <t>STATIK</t>
  </si>
  <si>
    <t>STATIC</t>
  </si>
  <si>
    <t>STATICA</t>
  </si>
  <si>
    <t>STATYKA</t>
  </si>
  <si>
    <t>STATIKA</t>
  </si>
  <si>
    <r>
      <rPr>
        <sz val="11"/>
        <color theme="1"/>
        <rFont val="Calibri"/>
        <family val="2"/>
        <scheme val="minor"/>
      </rPr>
      <t>STATIKA</t>
    </r>
  </si>
  <si>
    <t>STATIKK</t>
  </si>
  <si>
    <t>Statische Ausnutzung Dammbalken in %</t>
  </si>
  <si>
    <t>Static utilisation of stop logs in %</t>
  </si>
  <si>
    <t>Charge statique des batardeaux en %</t>
  </si>
  <si>
    <t>verifica statica sponda [%]</t>
  </si>
  <si>
    <t>Statyczne wykorzystanie belek w %</t>
  </si>
  <si>
    <t>Gátgerenda statikai kihasználtsága %-ban</t>
  </si>
  <si>
    <t>Statische benutting dambalk in %</t>
  </si>
  <si>
    <r>
      <rPr>
        <sz val="11"/>
        <color theme="1"/>
        <rFont val="Calibri"/>
        <family val="2"/>
        <scheme val="minor"/>
      </rPr>
      <t>Statični izkoristek zajezitvene lamele v %</t>
    </r>
  </si>
  <si>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</si>
  <si>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</si>
  <si>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</si>
  <si>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</si>
  <si>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</si>
  <si>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</si>
  <si>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</si>
  <si>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</si>
  <si>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Statische Ausnutzung Steher in %_DE</t>
  </si>
  <si>
    <t>Oszlopok statikai kihasználtsága %-ban</t>
  </si>
  <si>
    <t>Statische benutting pijler in %</t>
  </si>
  <si>
    <r>
      <rPr>
        <sz val="11"/>
        <color theme="1"/>
        <rFont val="Calibri"/>
        <family val="2"/>
        <scheme val="minor"/>
      </rPr>
      <t>Statični izkoristek stojal v %</t>
    </r>
  </si>
  <si>
    <t>Statiskt utnyttjande av stolpe i %</t>
  </si>
  <si>
    <t>Statistisk udnyttelse af lukker i %</t>
  </si>
  <si>
    <t>Statisk utnyttelse av stopper i %</t>
  </si>
  <si>
    <t>Statičko iskorištenje stupa u %</t>
  </si>
  <si>
    <t>Statische Berechnung</t>
  </si>
  <si>
    <t>Static calculation</t>
  </si>
  <si>
    <t>Calcul statique</t>
  </si>
  <si>
    <t>calcolo statico</t>
  </si>
  <si>
    <t>Obliczenia statyczne</t>
  </si>
  <si>
    <t>Statikai számítás</t>
  </si>
  <si>
    <t>Statische berekening</t>
  </si>
  <si>
    <r>
      <rPr>
        <sz val="11"/>
        <color theme="1"/>
        <rFont val="Calibri"/>
        <family val="2"/>
        <scheme val="minor"/>
      </rPr>
      <t>Statični izračun</t>
    </r>
  </si>
  <si>
    <t>Statisk beräkning</t>
  </si>
  <si>
    <t>Statisk beregning</t>
  </si>
  <si>
    <t>Statički proračun</t>
  </si>
  <si>
    <t>Hauteur de retenue d’eau [mm] :</t>
  </si>
  <si>
    <t>Std</t>
  </si>
  <si>
    <t>hrs</t>
  </si>
  <si>
    <t>h</t>
  </si>
  <si>
    <t>ore</t>
  </si>
  <si>
    <t>godziny</t>
  </si>
  <si>
    <t>Óra</t>
  </si>
  <si>
    <t>Uur</t>
  </si>
  <si>
    <r>
      <rPr>
        <sz val="11"/>
        <color theme="1"/>
        <rFont val="Calibri"/>
        <family val="2"/>
        <scheme val="minor"/>
      </rPr>
      <t>Ure</t>
    </r>
  </si>
  <si>
    <t>Tim.</t>
  </si>
  <si>
    <t>Timer</t>
  </si>
  <si>
    <t>T</t>
  </si>
  <si>
    <t>Stan.</t>
  </si>
  <si>
    <t>Steher Nr.</t>
  </si>
  <si>
    <t>Support no</t>
  </si>
  <si>
    <t>Nº de poteau</t>
  </si>
  <si>
    <t>nr. profilo circolare</t>
  </si>
  <si>
    <t>Steher Nr._DE</t>
  </si>
  <si>
    <t>Oszlop ssz.</t>
  </si>
  <si>
    <t>Pijler nr.</t>
  </si>
  <si>
    <r>
      <rPr>
        <sz val="11"/>
        <color theme="1"/>
        <rFont val="Calibri"/>
        <family val="2"/>
        <scheme val="minor"/>
      </rPr>
      <t>Stojalo št.</t>
    </r>
  </si>
  <si>
    <r>
      <rPr>
        <sz val="11"/>
        <rFont val="Calibri"/>
        <family val="2"/>
        <scheme val="minor"/>
      </rPr>
      <t xml:space="preserve">Stolpe </t>
    </r>
    <r>
      <rPr>
        <sz val="11"/>
        <color theme="1"/>
        <rFont val="Calibri"/>
        <family val="2"/>
        <scheme val="minor"/>
      </rPr>
      <t>nr</t>
    </r>
  </si>
  <si>
    <t>Lukker nr.</t>
  </si>
  <si>
    <t>Stopper nr.</t>
  </si>
  <si>
    <t>Br. stupova</t>
  </si>
  <si>
    <t>Stk</t>
  </si>
  <si>
    <t>pcs</t>
  </si>
  <si>
    <t>pezzo</t>
  </si>
  <si>
    <t>szt.</t>
  </si>
  <si>
    <t>Db.</t>
  </si>
  <si>
    <t>Stuks</t>
  </si>
  <si>
    <r>
      <rPr>
        <sz val="11"/>
        <color theme="1"/>
        <rFont val="Calibri"/>
        <family val="2"/>
        <scheme val="minor"/>
      </rPr>
      <t>Kos</t>
    </r>
  </si>
  <si>
    <t>St.</t>
  </si>
  <si>
    <t>Stk.</t>
  </si>
  <si>
    <t>Kom</t>
  </si>
  <si>
    <t>Straße:</t>
  </si>
  <si>
    <t>Street:</t>
  </si>
  <si>
    <t>Adresse :</t>
  </si>
  <si>
    <t>via:</t>
  </si>
  <si>
    <t>ulica:</t>
  </si>
  <si>
    <t>Utca:</t>
  </si>
  <si>
    <t>Straatnaam:</t>
  </si>
  <si>
    <r>
      <rPr>
        <sz val="11"/>
        <color theme="1"/>
        <rFont val="Calibri"/>
        <family val="2"/>
        <scheme val="minor"/>
      </rPr>
      <t>Cesta:</t>
    </r>
  </si>
  <si>
    <t>Gata:</t>
  </si>
  <si>
    <t>Gade:</t>
  </si>
  <si>
    <t>Gate/vei:</t>
  </si>
  <si>
    <t>Ulica:</t>
  </si>
  <si>
    <t>Stück</t>
  </si>
  <si>
    <t>Quantity</t>
  </si>
  <si>
    <t>sztuk</t>
  </si>
  <si>
    <t>Darab</t>
  </si>
  <si>
    <t>Styck</t>
  </si>
  <si>
    <t>Stykke</t>
  </si>
  <si>
    <t>Stykk</t>
  </si>
  <si>
    <t>Komada</t>
  </si>
  <si>
    <t>Summe</t>
  </si>
  <si>
    <t>Total</t>
  </si>
  <si>
    <t>somma</t>
  </si>
  <si>
    <t>suma</t>
  </si>
  <si>
    <t>Összesen</t>
  </si>
  <si>
    <t>Totaal</t>
  </si>
  <si>
    <r>
      <rPr>
        <sz val="11"/>
        <color theme="1"/>
        <rFont val="Calibri"/>
        <family val="2"/>
        <scheme val="minor"/>
      </rPr>
      <t>Vsota</t>
    </r>
  </si>
  <si>
    <t>Summa</t>
  </si>
  <si>
    <t>Sum</t>
  </si>
  <si>
    <t>Zbroj</t>
  </si>
  <si>
    <t>System 25:</t>
  </si>
  <si>
    <t>Système 25 :</t>
  </si>
  <si>
    <t>sistema 25:</t>
  </si>
  <si>
    <t>25-s rendszer</t>
  </si>
  <si>
    <t>Systeem 25:</t>
  </si>
  <si>
    <r>
      <rPr>
        <sz val="11"/>
        <color theme="1"/>
        <rFont val="Calibri"/>
        <family val="2"/>
        <scheme val="minor"/>
      </rPr>
      <t>Sistem 25:</t>
    </r>
  </si>
  <si>
    <t>Sustav 25:</t>
  </si>
  <si>
    <t>System 50:</t>
  </si>
  <si>
    <t>Système 50 :</t>
  </si>
  <si>
    <t>sistema 50:</t>
  </si>
  <si>
    <t>50-s rendszer</t>
  </si>
  <si>
    <t>Systeem 50:</t>
  </si>
  <si>
    <r>
      <rPr>
        <sz val="11"/>
        <color theme="1"/>
        <rFont val="Calibri"/>
        <family val="2"/>
        <scheme val="minor"/>
      </rPr>
      <t>Sistem 50:</t>
    </r>
  </si>
  <si>
    <t>Sustav 50:</t>
  </si>
  <si>
    <t>System 80:</t>
  </si>
  <si>
    <t>Système 80 :</t>
  </si>
  <si>
    <t>sistema 80:</t>
  </si>
  <si>
    <t>80-s rendszer</t>
  </si>
  <si>
    <t>Systeem 80:</t>
  </si>
  <si>
    <r>
      <rPr>
        <sz val="11"/>
        <color theme="1"/>
        <rFont val="Calibri"/>
        <family val="2"/>
        <scheme val="minor"/>
      </rPr>
      <t>Sistem 80:</t>
    </r>
  </si>
  <si>
    <t>Sustav 80:</t>
  </si>
  <si>
    <t>Telefon:</t>
  </si>
  <si>
    <t>Téléphone :</t>
  </si>
  <si>
    <t>nr. telefono:</t>
  </si>
  <si>
    <t>Telefoonnummer:</t>
  </si>
  <si>
    <r>
      <rPr>
        <sz val="11"/>
        <color theme="1"/>
        <rFont val="Calibri"/>
        <family val="2"/>
        <scheme val="minor"/>
      </rPr>
      <t>Telefon:</t>
    </r>
  </si>
  <si>
    <t>Tragsicherheit</t>
  </si>
  <si>
    <t>Load safety</t>
  </si>
  <si>
    <t>stato limite ultimo</t>
  </si>
  <si>
    <t>bezpieczeństwo nośności</t>
  </si>
  <si>
    <t>Teherbírási biztonság</t>
  </si>
  <si>
    <t>Constructieve veiligheid</t>
  </si>
  <si>
    <r>
      <rPr>
        <sz val="11"/>
        <color theme="1"/>
        <rFont val="Calibri"/>
        <family val="2"/>
        <scheme val="minor"/>
      </rPr>
      <t>Nosilna zanesljivost</t>
    </r>
  </si>
  <si>
    <r>
      <rPr>
        <sz val="11"/>
        <rFont val="Calibri"/>
        <family val="2"/>
        <scheme val="minor"/>
      </rPr>
      <t xml:space="preserve">Strukturell </t>
    </r>
    <r>
      <rPr>
        <sz val="11"/>
        <color theme="1"/>
        <rFont val="Calibri"/>
        <family val="2"/>
        <scheme val="minor"/>
      </rPr>
      <t>säkerhet</t>
    </r>
  </si>
  <si>
    <t>Strukturel sikkerhed</t>
  </si>
  <si>
    <t>Bæresikkerhet</t>
  </si>
  <si>
    <t>Strukturalna sigurnost</t>
  </si>
  <si>
    <t>Profil en U 25, longueur personnalisée, fourni sans joint, monté en applique, percé et ébavuré</t>
  </si>
  <si>
    <t>U-Profil 25 tömítés nélkül, egyedi hosszméretben, falsík előtt, furatolt és sorjázott</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</si>
  <si>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</si>
  <si>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</si>
  <si>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</si>
  <si>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</si>
  <si>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uszczelki, przed otworem, nawiercona i okrawana</t>
  </si>
  <si>
    <t>U-Profil 25 tömítés nélkül,  falsík előtt, furatolt és sorjázott</t>
  </si>
  <si>
    <t>U-profiel 25 excl. afdichting, op de dag, geboord en afgebraamd</t>
  </si>
  <si>
    <r>
      <rPr>
        <sz val="11"/>
        <color theme="1"/>
        <rFont val="Calibri"/>
        <family val="2"/>
        <scheme val="minor"/>
      </rPr>
      <t>U-profil 25, brez tesnila pred špaleto, z izvrtinami in posnetimi robovi</t>
    </r>
  </si>
  <si>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</si>
  <si>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</si>
  <si>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</si>
  <si>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</si>
  <si>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</si>
  <si>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</si>
  <si>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</si>
  <si>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</si>
  <si>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uszczelki, nawiercona i okrawana</t>
  </si>
  <si>
    <t>U-Profil 25 tömítés nélkül, furatolt és sorjázott</t>
  </si>
  <si>
    <t>U-profiel 25 excl. afdichting, geboord en afgebraamd</t>
  </si>
  <si>
    <r>
      <rPr>
        <sz val="11"/>
        <color theme="1"/>
        <rFont val="Calibri"/>
        <family val="2"/>
        <scheme val="minor"/>
      </rPr>
      <t>U-profil 25, brez tesnila, z izvrtinami in posnetimi robovi</t>
    </r>
  </si>
  <si>
    <t>U-profil 25 exkl. tätning, borrad och avgradad</t>
  </si>
  <si>
    <t>U-profil 25 ekskl. tætning, forboret og afgratet</t>
  </si>
  <si>
    <t>U-profil 25 ekskl. tetning, boret og avgradet</t>
  </si>
  <si>
    <t>U profil 25 bez brtve, bušen i s obrađenim rubovima</t>
  </si>
  <si>
    <t>U profile 25 special length excl. seal in front of soffit, drilled and deburred</t>
  </si>
  <si>
    <t>profilo a U 25 lunghezza fuori standard, esclusa guarnizione, davanti a intradosso, forato e sbavato</t>
  </si>
  <si>
    <t>U-Profil 25 długość specjalna bez uszczelki, przed otworem, nawiercona i okrawana</t>
  </si>
  <si>
    <t>U-profiel 25 aangepaste lengte excl. afdichting, op de dag, geboord en afgebraamd</t>
  </si>
  <si>
    <r>
      <rPr>
        <sz val="11"/>
        <color theme="1"/>
        <rFont val="Calibri"/>
        <family val="2"/>
        <scheme val="minor"/>
      </rPr>
      <t>U-profil 25, posebna dolžina, brez tesnila pred špaleto, z izvrtinami in posnetimi robovi</t>
    </r>
  </si>
  <si>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</si>
  <si>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</si>
  <si>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</si>
  <si>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</si>
  <si>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 profile 25 special length excl. seal, drilled and deburred</t>
  </si>
  <si>
    <t>Profil en U 25, longueur personnalisée, fourni sans joint, percé et ébavuré</t>
  </si>
  <si>
    <t>profilo a U 25 lunghezza fuori standard, esclusa guarnizione, forato e sbavato</t>
  </si>
  <si>
    <t>U-Profil 25 długość specjalna bez uszczelki, nawiercona i okrawana</t>
  </si>
  <si>
    <t>U-Profil 25 tömítés nélkül, egyedi hosszméretben, furatolt és sorjázott</t>
  </si>
  <si>
    <t>U-profiel 25 aangepaste lengte excl. afdichting, geboord en afgebraamd</t>
  </si>
  <si>
    <r>
      <rPr>
        <sz val="11"/>
        <color theme="1"/>
        <rFont val="Calibri"/>
        <family val="2"/>
        <scheme val="minor"/>
      </rPr>
      <t>U-profil 25, posebna dolžina, brez tesnila, z izvrtinami in posnetimi robovi</t>
    </r>
  </si>
  <si>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</si>
  <si>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</si>
  <si>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</si>
  <si>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</si>
  <si>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</si>
  <si>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</si>
  <si>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</si>
  <si>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</si>
  <si>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uszczelki, nawiercona i okrawana</t>
  </si>
  <si>
    <t>U-Profil 50 tömítés nélkül, furatolt és sorjázott</t>
  </si>
  <si>
    <t>U-profiel 50 excl. afdichting, geboord en afgebraamd</t>
  </si>
  <si>
    <r>
      <rPr>
        <sz val="11"/>
        <color theme="1"/>
        <rFont val="Calibri"/>
        <family val="2"/>
        <scheme val="minor"/>
      </rPr>
      <t>U-profil 50 brez tesnila, z izvrtinami in posnetimi robovi</t>
    </r>
  </si>
  <si>
    <t>U-profil 50 exkl. tätning, borrad och avgradad</t>
  </si>
  <si>
    <t>U-profil 50 ekskl. tætning, forboret og afgratet</t>
  </si>
  <si>
    <t>U-profil 50 ekskl. tetning, boret og avgradet</t>
  </si>
  <si>
    <t>U profil 50 bez brtve, bušen i s obrađenim rubovima</t>
  </si>
  <si>
    <t>U profile 50 special length excl. seal, drilled and deburred</t>
  </si>
  <si>
    <t>Profil en U 50, longueur personnalisée, fourni sans joint, percé et ébavuré</t>
  </si>
  <si>
    <t>profilo a U 50 lunghezza fuori standard, esclusa guarnizione, forato e sbavato</t>
  </si>
  <si>
    <t>U-Profil 50 długość specjalna bez uszczelki, nawiercona i okrawana</t>
  </si>
  <si>
    <t>U-Profil 50 tömítés nélkül, egyedi hosszméretben, furatolt és sorjázott</t>
  </si>
  <si>
    <t>U-profiel 50 aangepaste lengte excl. afdichting, geboord en afgebraamd</t>
  </si>
  <si>
    <r>
      <rPr>
        <sz val="11"/>
        <color theme="1"/>
        <rFont val="Calibri"/>
        <family val="2"/>
        <scheme val="minor"/>
      </rPr>
      <t>U-profil 50, posebna dolžina, brez tesnila, z izvrtinami in posnetimi robovi</t>
    </r>
  </si>
  <si>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</si>
  <si>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</si>
  <si>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</si>
  <si>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</si>
  <si>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</si>
  <si>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</si>
  <si>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</si>
  <si>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</si>
  <si>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uszczelki, nawiercona i okrawana</t>
  </si>
  <si>
    <t>U-Profil 80 tömítés nélkül, furatolt és sorjázott</t>
  </si>
  <si>
    <t>U-profiel 80 excl. afdichting, geboord en afgebraamd</t>
  </si>
  <si>
    <r>
      <rPr>
        <sz val="11"/>
        <color theme="1"/>
        <rFont val="Calibri"/>
        <family val="2"/>
        <scheme val="minor"/>
      </rPr>
      <t>U-profil 80, brez tesnila, z izvrtinami in posnetimi robovi</t>
    </r>
  </si>
  <si>
    <t>U-profil 80 exkl. tätning, borrad och avgradad</t>
  </si>
  <si>
    <t>U-profil 80 ekskl. tætning, forboret og afgratet</t>
  </si>
  <si>
    <t>U-profil 80 ekskl. tetning, boret og avgradet</t>
  </si>
  <si>
    <t>U profil 80 bez brtve, bušen i s obrađenim rubovima</t>
  </si>
  <si>
    <t>U profile 80 special length excl. seal, drilled and deburred</t>
  </si>
  <si>
    <t>Profil en U 80, longueur personnalisée, fourni sans joint, percé et ébavuré</t>
  </si>
  <si>
    <t>profilo a U 80 lunghezza fuori standard, esclusa guarnizione, forato e sbavato</t>
  </si>
  <si>
    <t>U-Profil 80 długość specjalna bez uszczelki, nawiercona i okrawana</t>
  </si>
  <si>
    <t>U-Profil 80 tömítés nélkül, egyedi hosszméretben, furatolt és sorjázott</t>
  </si>
  <si>
    <t>U-profiel 80 aangepaste lengte excl. afdichting, geboord en afgebraamd</t>
  </si>
  <si>
    <r>
      <rPr>
        <sz val="11"/>
        <color theme="1"/>
        <rFont val="Calibri"/>
        <family val="2"/>
        <scheme val="minor"/>
      </rPr>
      <t>U-profil 80, posebna dolžina brez tesnila, z izvrtinami in posnetimi robovi</t>
    </r>
  </si>
  <si>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</si>
  <si>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</si>
  <si>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</si>
  <si>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</si>
  <si>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</si>
  <si>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</si>
  <si>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saldatura ancoraggio 300mm</t>
  </si>
  <si>
    <t>Lehorgonyzó elem, felhegesztett 300mm</t>
  </si>
  <si>
    <t>Verankering vastgelast 300 mm</t>
  </si>
  <si>
    <r>
      <rPr>
        <sz val="11"/>
        <rFont val="Calibri"/>
        <family val="2"/>
        <scheme val="minor"/>
      </rPr>
      <t>Navarjeno sidro 300 mm</t>
    </r>
  </si>
  <si>
    <t>Påsvetsade montageöron</t>
  </si>
  <si>
    <t>Påsvejset forankring 300 mm</t>
  </si>
  <si>
    <t>Forankring påsveiset 300 mm</t>
  </si>
  <si>
    <t>Navareno usidrenje 300mm</t>
  </si>
  <si>
    <t>Volleinstau</t>
  </si>
  <si>
    <t>Complete flood</t>
  </si>
  <si>
    <t>linea di massima piena</t>
  </si>
  <si>
    <t>Volleinstau_DE</t>
  </si>
  <si>
    <t>Teljes elárasztás</t>
  </si>
  <si>
    <t>Volledige stuwing</t>
  </si>
  <si>
    <r>
      <rPr>
        <sz val="11"/>
        <color theme="1"/>
        <rFont val="Calibri"/>
        <family val="2"/>
        <scheme val="minor"/>
      </rPr>
      <t>Popolna zajezitev</t>
    </r>
  </si>
  <si>
    <t>Invändigt öppning</t>
  </si>
  <si>
    <t>Fuldt reservoir</t>
  </si>
  <si>
    <t>Full oppdemming</t>
  </si>
  <si>
    <t>Potpuno zadržavanje</t>
  </si>
  <si>
    <t>Vor der Leibung</t>
  </si>
  <si>
    <t>In front of the soffit</t>
  </si>
  <si>
    <t>Falsík előtt</t>
  </si>
  <si>
    <t>Op de dag</t>
  </si>
  <si>
    <r>
      <rPr>
        <sz val="11"/>
        <rFont val="Calibri"/>
        <family val="2"/>
        <scheme val="minor"/>
      </rPr>
      <t>Pred špaleto</t>
    </r>
  </si>
  <si>
    <t>Framför öppning</t>
  </si>
  <si>
    <t>Foran pladeunderside</t>
  </si>
  <si>
    <t>Før åpningen</t>
  </si>
  <si>
    <t>Ispred otvora</t>
  </si>
  <si>
    <t>Winkelabdeckung</t>
  </si>
  <si>
    <t>Zubehör</t>
  </si>
  <si>
    <t>Accessories</t>
  </si>
  <si>
    <t>accessori</t>
  </si>
  <si>
    <t>Osprzęt</t>
  </si>
  <si>
    <t>Kiegészítők</t>
  </si>
  <si>
    <t>Toebehoren</t>
  </si>
  <si>
    <r>
      <rPr>
        <sz val="11"/>
        <color theme="1"/>
        <rFont val="Calibri"/>
        <family val="2"/>
        <scheme val="minor"/>
      </rPr>
      <t>Dodatna oprema</t>
    </r>
  </si>
  <si>
    <t>Tillbehör</t>
  </si>
  <si>
    <t>Tilbehør</t>
  </si>
  <si>
    <t>Pribor</t>
  </si>
  <si>
    <t>Zwischensumme</t>
  </si>
  <si>
    <t>Subtotal</t>
  </si>
  <si>
    <t>subtotale</t>
  </si>
  <si>
    <t>Suma częściowa</t>
  </si>
  <si>
    <t>Áthozott érték</t>
  </si>
  <si>
    <t>Subtotaal</t>
  </si>
  <si>
    <r>
      <rPr>
        <sz val="11"/>
        <color theme="1"/>
        <rFont val="Calibri"/>
        <family val="2"/>
        <scheme val="minor"/>
      </rPr>
      <t>Vmesna vsota</t>
    </r>
  </si>
  <si>
    <t>Mellansumma</t>
  </si>
  <si>
    <t>Međuzbroj</t>
  </si>
  <si>
    <t>PREFA FLOOD PROTECTION DATA ENTRY FORM</t>
  </si>
  <si>
    <t>FORMULAIRE DE SAISIE POUR LES SYSTÈMES DE PROTECTION CONTRE LES CRUES PREFA</t>
  </si>
  <si>
    <t>QUESTIONARIO PREFA SAE</t>
  </si>
  <si>
    <t>FORMULARZ BADANIA PREFA</t>
  </si>
  <si>
    <t>PREFA ÁRVÍZVÉDELMI RENDSZER AJÁNLATKÉRŐ ÍV</t>
  </si>
  <si>
    <t>PREFA HWB-SYSTEEM – VRAGENLIJST</t>
  </si>
  <si>
    <r>
      <rPr>
        <sz val="11"/>
        <color theme="1"/>
        <rFont val="Calibri"/>
        <family val="2"/>
        <scheme val="minor"/>
      </rPr>
      <t>VPRAŠALNIK ZA IZBIRO SISTEMA PROTIPOPLAVNE ZAŠČITE PREFA</t>
    </r>
  </si>
  <si>
    <r>
      <t>Frågeformulär för PREFA</t>
    </r>
    <r>
      <rPr>
        <sz val="11"/>
        <color rgb="FFFFFF00"/>
        <rFont val="Calibri"/>
        <family val="2"/>
        <scheme val="minor"/>
      </rPr>
      <t>-</t>
    </r>
    <r>
      <rPr>
        <sz val="11"/>
        <rFont val="Calibri"/>
        <family val="2"/>
        <scheme val="minor"/>
      </rPr>
      <t>översvämningsskydd</t>
    </r>
  </si>
  <si>
    <t>PREFA SPØRGESKEMA OM HØJVANDSBESKYTTELSE</t>
  </si>
  <si>
    <t>PREFA HWS SPØRRESKJEMA</t>
  </si>
  <si>
    <t>PREFA UPITNI OBRAZAC ZA ZAŠTITU OD POPLAVE</t>
  </si>
  <si>
    <t>Einverständniserklärung</t>
  </si>
  <si>
    <t>Declaration of consent</t>
  </si>
  <si>
    <t>Déclaration de consentement</t>
  </si>
  <si>
    <t>consenso</t>
  </si>
  <si>
    <t>deklaracja zgody</t>
  </si>
  <si>
    <t>Beleegyező nyilatkozat</t>
  </si>
  <si>
    <t>Instemmingsverklaring</t>
  </si>
  <si>
    <r>
      <rPr>
        <sz val="11"/>
        <color theme="1"/>
        <rFont val="Calibri"/>
        <family val="2"/>
        <scheme val="minor"/>
      </rPr>
      <t>Soglasje</t>
    </r>
  </si>
  <si>
    <t>Godkännande</t>
  </si>
  <si>
    <t>Samtykkeerklæring</t>
  </si>
  <si>
    <t>Izjava o suglasnosti</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</si>
  <si>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</si>
  <si>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</si>
  <si>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</si>
  <si>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oferuje użytkownikowi bezpłatne narzędzie obliczeniowe do systemów ochrony przeciwpowodziowej.</t>
  </si>
  <si>
    <t>A felhasználók számára a PREFA ingyenes számítási segédletet biztosít a PREFA mobilgátakhoz.</t>
  </si>
  <si>
    <t>PREFA biedt de gebruiker een gratis berekeningstool voor PREFA-hoogwaterbeschermingen.</t>
  </si>
  <si>
    <r>
      <rPr>
        <sz val="11"/>
        <color theme="1"/>
        <rFont val="Calibri"/>
        <family val="2"/>
        <scheme val="minor"/>
      </rPr>
      <t>PREFA nudi uporabnikom brezplačno orodje za izračun sistemov protipoplavne zaščite PREFA.</t>
    </r>
  </si>
  <si>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</si>
  <si>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</si>
  <si>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</si>
  <si>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</si>
  <si>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</si>
  <si>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</si>
  <si>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</si>
  <si>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</si>
  <si>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Narzędzie obliczeniowe uwzględnia wymagania ulotki 6 / BWK, wydanie grudzień 2005:</t>
  </si>
  <si>
    <t>A segédlet által figyelembe vett követelmények: Merkblatt 6/BWK Ausgabe Dezember 2005:</t>
  </si>
  <si>
    <t>De berekeningstool voldoet aan de relevante Duits normen voor hoogwaterbescherming (Merkblatt 6 BWK, editie dec. 2005):</t>
  </si>
  <si>
    <r>
      <rPr>
        <sz val="11"/>
        <color theme="1"/>
        <rFont val="Calibri"/>
        <family val="2"/>
        <scheme val="minor"/>
      </rPr>
      <t>Orodje za izračun upošteva zahteve tehničnega lista 6/BWK, izdaja december 2005:</t>
    </r>
  </si>
  <si>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</si>
  <si>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</si>
  <si>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</si>
  <si>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</si>
  <si>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</si>
  <si>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</si>
  <si>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</si>
  <si>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</si>
  <si>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Dane wprowadzane przez użytkownika są przetwarzane automatycznie przez narzędzie obliczeniowe bez możliwości sprawdzenia ich poprawności.</t>
  </si>
  <si>
    <t>A felhasználó által beírt adatokat a segédlet automatikusan átveszi, azok helyességét nem ellenőrzi.</t>
  </si>
  <si>
    <t>De door de gebruiker ingevoerde gegevens worden door de berekeningstool automatisch verwerkt, zonder dat ze op juistheid kunnen worden gecontroleerd.</t>
  </si>
  <si>
    <r>
      <rPr>
        <sz val="11"/>
        <color theme="1"/>
        <rFont val="Calibri"/>
        <family val="2"/>
        <scheme val="minor"/>
      </rPr>
      <t>Orodje za izračun samodejno obdela podatke, ki jih vnese uporabnik, brez preverjanja njihove pravilnosti.</t>
    </r>
  </si>
  <si>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</si>
  <si>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</si>
  <si>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</si>
  <si>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</si>
  <si>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</si>
  <si>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</si>
  <si>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</si>
  <si>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Wyniki obliczeń mogą być wykorzystywane tylko dla systemu ochrony przeciwpowodziowej zapisanego przez dane wejściowe.</t>
  </si>
  <si>
    <t>A számítási eredmények kizárólag a beírt adatok alapján számított árvízvédelmi rendszerre érvényesek.</t>
  </si>
  <si>
    <t>De berekeningsresultaten zijn alleen van toepassing op het specifieke hoogwaterbeschermingssysteem waarvoor de gegevens zijn ingevoerd.</t>
  </si>
  <si>
    <r>
      <rPr>
        <sz val="11"/>
        <color theme="1"/>
        <rFont val="Calibri"/>
        <family val="2"/>
        <scheme val="minor"/>
      </rPr>
      <t>Rezultati izračuna so uporabni samo za sistem protipoplavne zaščite, ki ga zajemajo vhodni podatki.</t>
    </r>
  </si>
  <si>
    <r>
      <t xml:space="preserve">Beräkningsresultaten ska bara användas för det </t>
    </r>
    <r>
      <rPr>
        <sz val="11"/>
        <rFont val="Calibri"/>
        <family val="2"/>
        <scheme val="minor"/>
      </rPr>
      <t xml:space="preserve">övervämningsskydd </t>
    </r>
    <r>
      <rPr>
        <sz val="11"/>
        <color theme="1"/>
        <rFont val="Calibri"/>
        <family val="2"/>
        <scheme val="minor"/>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</si>
  <si>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</si>
  <si>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</si>
  <si>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</si>
  <si>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</si>
  <si>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</si>
  <si>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</si>
  <si>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Narzędzie obliczeniowe odnosi się wyłącznie do systemów ochrony przeciwpowodziowej PREFA.</t>
  </si>
  <si>
    <t>A számítási segédlet kizárólag PREFA árvízvédelmi rendszerhez alkalmazható.</t>
  </si>
  <si>
    <t>De berekeningstool heeft uitsluitend betrekking op PREFA-systemen.</t>
  </si>
  <si>
    <r>
      <rPr>
        <sz val="11"/>
        <color theme="1"/>
        <rFont val="Calibri"/>
        <family val="2"/>
        <scheme val="minor"/>
      </rPr>
      <t>Orodje za izračun se nanaša izključno na sisteme protipoplavne zaščite PREFA.</t>
    </r>
  </si>
  <si>
    <r>
      <t>Beräkningsverktyget är uteslutande avsett för PREFA-</t>
    </r>
    <r>
      <rPr>
        <sz val="11"/>
        <color rgb="FFFFFF00"/>
        <rFont val="Calibri"/>
        <family val="2"/>
        <scheme val="minor"/>
      </rPr>
      <t xml:space="preserve">. </t>
    </r>
    <r>
      <rPr>
        <sz val="11"/>
        <rFont val="Calibri"/>
        <family val="2"/>
        <scheme val="minor"/>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</si>
  <si>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</si>
  <si>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</si>
  <si>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</si>
  <si>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</si>
  <si>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</si>
  <si>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</si>
  <si>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Wyniki obliczeń nie mają zastosowania do innych produktów lub zastosowań. </t>
  </si>
  <si>
    <t>A számítási eredmények nem érvényesek más termékre, vagy eltérő felhasználásra.</t>
  </si>
  <si>
    <t>De berekeningsresultaten zijn niet op andere producten of situaties van toepassing.</t>
  </si>
  <si>
    <r>
      <rPr>
        <sz val="11"/>
        <color theme="1"/>
        <rFont val="Calibri"/>
        <family val="2"/>
        <scheme val="minor"/>
      </rPr>
      <t>Rezultati izračuna niso uporabni za druge izdelke ali uporabe.</t>
    </r>
  </si>
  <si>
    <r>
      <t>Beräkningsresultaten kan inte tillämpas på andra produkter eller</t>
    </r>
    <r>
      <rPr>
        <sz val="11"/>
        <color rgb="FFFFFF00"/>
        <rFont val="Calibri"/>
        <family val="2"/>
        <scheme val="minor"/>
      </rPr>
      <t xml:space="preserve"> </t>
    </r>
    <r>
      <rPr>
        <sz val="11"/>
        <rFont val="Calibri"/>
        <family val="2"/>
        <scheme val="minor"/>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</si>
  <si>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</si>
  <si>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</si>
  <si>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</si>
  <si>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</si>
  <si>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</si>
  <si>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</si>
  <si>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</si>
  <si>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Chociaż narzędzie obliczeniowe zostało stworzone przez PREFA z największą możliwą starannością, </t>
  </si>
  <si>
    <t>Bár a PREFA számítási segédlete a legnagyobb körültekintéssel készült,</t>
  </si>
  <si>
    <t>Hoewel de berekeningstool door PREFA met de grootst mogelijke zorg is samengesteld,</t>
  </si>
  <si>
    <r>
      <rPr>
        <sz val="11"/>
        <color theme="1"/>
        <rFont val="Calibri"/>
        <family val="2"/>
        <scheme val="minor"/>
      </rPr>
      <t>Čeprav je orodje za izračun PREFA izdelano z največjo skrbnostjo,</t>
    </r>
  </si>
  <si>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</si>
  <si>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</si>
  <si>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</si>
  <si>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</si>
  <si>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können die Berechnungsergebnisse zufolge der individuellen konstruktiven Besonderheiten jedes</t>
  </si>
  <si>
    <t>However, due to the calculation results being based on the individual design features of each</t>
  </si>
  <si>
    <t>wyniki obliczeń mogą być obliczane zgodnie z indywidualnym icharakterystykami projektowymi każdegoz nich. </t>
  </si>
  <si>
    <t>a számítási eredményekért az egyes árvízvédelmi rendszerek egyedi kialakítási sajátosságai miatt</t>
  </si>
  <si>
    <t>dienen de berekeningsresultaten vanwege individuele bouwkundige bijzonderheden van elk</t>
  </si>
  <si>
    <r>
      <rPr>
        <sz val="11"/>
        <color theme="1"/>
        <rFont val="Calibri"/>
        <family val="2"/>
        <scheme val="minor"/>
      </rPr>
      <t>lahko rezultati izračuna zaradi individualnih konstrukcijskih posebnosti vsakega</t>
    </r>
  </si>
  <si>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</si>
  <si>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</si>
  <si>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</si>
  <si>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</si>
  <si>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</si>
  <si>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</si>
  <si>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spécialistes, mais ne les dispense pas de l’obligation de vérifier la conformité des résultats au cas par cas.</t>
  </si>
  <si>
    <t>System ochrony przeciwpowodziowej i ewentualne błędne wprowadzenie podstaw obliczeniowych są tylko niewiążącymi zaleceniami.</t>
  </si>
  <si>
    <t xml:space="preserve">és a lehetséges adatbeviteli hibák következtében felelősséget nem vállalunk. </t>
  </si>
  <si>
    <t>systeem en vanwege eventueel verkeerd ingevoerde gegevens slechts als vrijblijvende aanbeveling.</t>
  </si>
  <si>
    <r>
      <rPr>
        <sz val="11"/>
        <color theme="1"/>
        <rFont val="Calibri"/>
        <family val="2"/>
        <scheme val="minor"/>
      </rPr>
      <t>sistema protipoplavne zaščite in možnega napačnega vnosa podatkov za izračun predstavljajo le neobvezujoča priporočila.</t>
    </r>
  </si>
  <si>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</si>
  <si>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</si>
  <si>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</si>
  <si>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</si>
  <si>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</si>
  <si>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</si>
  <si>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</si>
  <si>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</si>
  <si>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</si>
  <si>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beschouwt de berekeningstool als hulpmiddel voor vaklieden. De tool ontslaat hen echter niet van de verplichting om voor specifieke gevallen zelfstandig controles uit te voeren.</t>
  </si>
  <si>
    <r>
      <rPr>
        <sz val="11"/>
        <color theme="1"/>
        <rFont val="Calibri"/>
        <family val="2"/>
        <scheme val="minor"/>
      </rPr>
      <t>PREFA razume orodje za izračun kot pripomoček za strokovnjaka, ki pa ga v posamičnem primeru ne odvezuje obveznosti za samostojno preverjanje.</t>
    </r>
  </si>
  <si>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</si>
  <si>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</si>
  <si>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</si>
  <si>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</si>
  <si>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</si>
  <si>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</si>
  <si>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</si>
  <si>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</si>
  <si>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</si>
  <si>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</si>
  <si>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is in dezen niet aansprakelijk voor de juistheid of volledigheid van de berekeningsresultaten dan wel hieruit voortvloeiende schadeclaims.</t>
  </si>
  <si>
    <r>
      <rPr>
        <sz val="11"/>
        <color theme="1"/>
        <rFont val="Calibri"/>
        <family val="2"/>
        <scheme val="minor"/>
      </rPr>
      <t>PREFA v zvezi s tem ne prevzema nobene odgovornosti za pravilnost ali popolnost rezultatov izračuna ali za odškodninske zahtevke, ki izhajajo iz tega.</t>
    </r>
  </si>
  <si>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</si>
  <si>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</si>
  <si>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</si>
  <si>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</si>
  <si>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</si>
  <si>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</si>
  <si>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</si>
  <si>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</si>
  <si>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</si>
  <si>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</si>
  <si>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Bij ondeskundige montage/onderhoud of bij gebruik van niet-originele toebehoren is PREFA niet aansprakelijk.</t>
  </si>
  <si>
    <r>
      <rPr>
        <sz val="11"/>
        <color theme="1"/>
        <rFont val="Calibri"/>
        <family val="2"/>
        <scheme val="minor"/>
      </rPr>
      <t>PREFA ne prevzema nobene odgovornosti v primeru nestrokovne montaže in/ali vzdrževanja ali uporabe neoriginalne dodatne opreme.</t>
    </r>
  </si>
  <si>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</si>
  <si>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</si>
  <si>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</si>
  <si>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</si>
  <si>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</si>
  <si>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</si>
  <si>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</si>
  <si>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</si>
  <si>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</si>
  <si>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PREFA is evenmin aansprakelijk voor bouwkundige gebreken, in het bijzonder de gebrekkige waterdichtheid van bestaande constructies, de hydrostatische krachtinwerking en ondeskundige omgang met bouwonderdelen,</t>
  </si>
  <si>
    <r>
      <rPr>
        <sz val="11"/>
        <color theme="1"/>
        <rFont val="Calibri"/>
        <family val="2"/>
        <scheme val="minor"/>
      </rPr>
      <t>Izključitev odgovornosti PREFA velja tudi v primeru gradbenih pomanjkljivosti, zlasti v primeru neustrezno vodotesne gradbene osnove gradbenega objekta, delovanja hidrostatične sile</t>
    </r>
  </si>
  <si>
    <r>
      <t>Även strukturella brister, i synnerhet</t>
    </r>
    <r>
      <rPr>
        <sz val="11"/>
        <color rgb="FFFFFF00"/>
        <rFont val="Calibri"/>
        <family val="2"/>
        <scheme val="minor"/>
      </rPr>
      <t xml:space="preserve"> </t>
    </r>
    <r>
      <rPr>
        <sz val="11"/>
        <rFont val="Calibri"/>
        <family val="2"/>
        <scheme val="minor"/>
      </rPr>
      <t>byggnadskonstruction</t>
    </r>
    <r>
      <rPr>
        <sz val="11"/>
        <color theme="1"/>
        <rFont val="Calibri"/>
        <family val="2"/>
        <scheme val="minor"/>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</si>
  <si>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</si>
  <si>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</si>
  <si>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</si>
  <si>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</si>
  <si>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</si>
  <si>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</si>
  <si>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</si>
  <si>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</si>
  <si>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waaronder ook beschadiging als gevolg van mechanische inwerking door personen of voorwerpen.</t>
  </si>
  <si>
    <r>
      <rPr>
        <sz val="11"/>
        <color theme="1"/>
        <rFont val="Calibri"/>
        <family val="2"/>
        <scheme val="minor"/>
      </rPr>
      <t>in nestrokovne uporabe gradbenih elementov, med drugim tudi pri poškodbah zaradi mehanskega vpliva oseb in predmetov.</t>
    </r>
  </si>
  <si>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</si>
  <si>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</si>
  <si>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</si>
  <si>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</si>
  <si>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</si>
  <si>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</si>
  <si>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</si>
  <si>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</si>
  <si>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nie gwarantuje bezwzględnego zapobiegania szkodom.</t>
  </si>
  <si>
    <t>A PREFA nem vállal garanciát az abszolút kármegelőzésért.</t>
  </si>
  <si>
    <t>De garantie van PREFA omvat geen maatregelen voor volledige schadepreventie.</t>
  </si>
  <si>
    <r>
      <rPr>
        <sz val="11"/>
        <color theme="1"/>
        <rFont val="Calibri"/>
        <family val="2"/>
        <scheme val="minor"/>
      </rPr>
      <t>PREFA ne prevzema nobene garancije za absolutno preprečevanje škode.</t>
    </r>
  </si>
  <si>
    <t>PREFA garanterar inte absolut skadeförebyggande.</t>
  </si>
  <si>
    <t>PREFA påtager sig intet ansvar for ikke absolut skadeforebyggelse.</t>
  </si>
  <si>
    <t>PREFA garanterer ikke absolutt forhindring av skader.</t>
  </si>
  <si>
    <t>PREFA ne garantira apsolutno sprječavanje šteta.</t>
  </si>
  <si>
    <t>Folgende Nachweise werden berechnet bzw berücksichtigt:</t>
  </si>
  <si>
    <t>Proof of the following is calculated or taken into account:</t>
  </si>
  <si>
    <t>Les calculs effectués ou pris en compte sont les suivants :</t>
  </si>
  <si>
    <t>Le seguenti verifiche sono state calcolate / considerate:</t>
  </si>
  <si>
    <t>Następujące dowody są obliczane lub brane pod uwagę: </t>
  </si>
  <si>
    <t>A következő tényezőket számoljuk ki, illetve vesszük figyelembe:</t>
  </si>
  <si>
    <t>De volgende factoren worden meegenomen in de berekeningen:</t>
  </si>
  <si>
    <r>
      <rPr>
        <sz val="11"/>
        <color theme="1"/>
        <rFont val="Calibri"/>
        <family val="2"/>
        <scheme val="minor"/>
      </rPr>
      <t>Izračunajo oziroma upoštevajo se naslednji dokazi:</t>
    </r>
  </si>
  <si>
    <t>Följande underlag beräknas eller tas hänsyn till:</t>
  </si>
  <si>
    <t>Følgende data beregnes eller tages i betragtning:</t>
  </si>
  <si>
    <t>Følgende dokumentasjon beregnes eller tas hensyn til:</t>
  </si>
  <si>
    <t>Izračunavaju se, odnosno uzimaju u obzir sljedeći atesti:</t>
  </si>
  <si>
    <t>Hydrostatische Einwirkung</t>
  </si>
  <si>
    <t>Hydrostatic effects</t>
  </si>
  <si>
    <t>azione idrostatica</t>
  </si>
  <si>
    <t>Oddziaływanie hydrostatyczne </t>
  </si>
  <si>
    <t>Hidrosztatikai hatás</t>
  </si>
  <si>
    <t>Hydrostatische inwerking</t>
  </si>
  <si>
    <r>
      <rPr>
        <sz val="11"/>
        <color theme="1"/>
        <rFont val="Calibri"/>
        <family val="2"/>
        <scheme val="minor"/>
      </rPr>
      <t>hidrostatični vpliv,</t>
    </r>
  </si>
  <si>
    <t>Hydrostatisk verkan</t>
  </si>
  <si>
    <t>Hydrostatisk påvirkning</t>
  </si>
  <si>
    <t>Hidrostatsko djelovanje</t>
  </si>
  <si>
    <t>Hydrodynamische Einwirkung</t>
  </si>
  <si>
    <t>Hydrodynamic effects</t>
  </si>
  <si>
    <t>azione idrodinamica</t>
  </si>
  <si>
    <t>Oddziaływanie hydrodynamiczne </t>
  </si>
  <si>
    <t>Hidrodinamikai hatás</t>
  </si>
  <si>
    <t>Hydrodynamische inwerking</t>
  </si>
  <si>
    <r>
      <rPr>
        <sz val="11"/>
        <color theme="1"/>
        <rFont val="Calibri"/>
        <family val="2"/>
        <scheme val="minor"/>
      </rPr>
      <t>hidrodinamični vpliv,</t>
    </r>
  </si>
  <si>
    <t>Hydrodynamisk verkan</t>
  </si>
  <si>
    <t>Hydrodynamisk påvirkning</t>
  </si>
  <si>
    <t>Hidrodinamičko djelovanje</t>
  </si>
  <si>
    <t>Anprall von Treibgut (nur bei Eingabe von Anströmwinkel)</t>
  </si>
  <si>
    <t>Impact of floating debris (only where it enters from the angle of the inflow)</t>
  </si>
  <si>
    <t>Uderzenie od wody z zanieczyszczeniami (tylko przy wprowadzeniu kąta natarcia)</t>
  </si>
  <si>
    <t>Uszadék nekicsapódása (csak a beesési szög megadása esetén)</t>
  </si>
  <si>
    <t>Stootkracht van drijvend materiaal (alleen bij invoer van invalshoek)</t>
  </si>
  <si>
    <r>
      <rPr>
        <sz val="11"/>
        <color theme="1"/>
        <rFont val="Calibri"/>
        <family val="2"/>
        <scheme val="minor"/>
      </rPr>
      <t>trk naplavin (samo pri vnosu vpadnega kota),</t>
    </r>
  </si>
  <si>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</si>
  <si>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</si>
  <si>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</si>
  <si>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</si>
  <si>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</si>
  <si>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</si>
  <si>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</si>
  <si>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</si>
  <si>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Założenia do weryfikacji statycznej (wrazie potrzeby można je zmienić): </t>
  </si>
  <si>
    <t>A statikai számításhoz szükséges előre beállított értékek (igény esetén módosíthatóak):</t>
  </si>
  <si>
    <t>Aannames voor de statische berekening (indien nodig aanpasbaar):</t>
  </si>
  <si>
    <r>
      <rPr>
        <sz val="11"/>
        <color theme="1"/>
        <rFont val="Calibri"/>
        <family val="2"/>
        <scheme val="minor"/>
      </rPr>
      <t>predpostavke za statično dokazilo (po potrebi se lahko spremenijo):</t>
    </r>
  </si>
  <si>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</si>
  <si>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</si>
  <si>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</si>
  <si>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</si>
  <si>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r>
      <t>Dichte Wasser inkl. Geschiebe:  r</t>
    </r>
    <r>
      <rPr>
        <vertAlign val="subscript"/>
        <sz val="11"/>
        <rFont val="Calibri"/>
        <family val="2"/>
        <scheme val="minor"/>
      </rPr>
      <t>w</t>
    </r>
  </si>
  <si>
    <r>
      <rPr>
        <sz val="11"/>
        <color theme="1"/>
        <rFont val="Calibri"/>
        <family val="2"/>
        <scheme val="minor"/>
      </rPr>
      <t>Dense water incl. debris:</t>
    </r>
    <r>
      <rPr>
        <sz val="11"/>
        <color theme="1"/>
        <rFont val="Calibri"/>
        <family val="2"/>
        <scheme val="minor"/>
      </rPr>
      <t xml:space="preserve">  </t>
    </r>
    <r>
      <rPr>
        <sz val="11"/>
        <color theme="1"/>
        <rFont val="Calibri"/>
        <family val="2"/>
        <scheme val="minor"/>
      </rPr>
      <t>r</t>
    </r>
    <r>
      <rPr>
        <vertAlign val="subscript"/>
        <sz val="11"/>
        <color rgb="FF000000"/>
        <rFont val="Calibri"/>
        <family val="2"/>
        <scheme val="minor"/>
      </rPr>
      <t>w</t>
    </r>
  </si>
  <si>
    <t>Masse volumique de l’eau (avec matériaux de charriage) : rw</t>
  </si>
  <si>
    <t>Gęstość wody włącznie z transportowanym materiałem:  rw</t>
  </si>
  <si>
    <t>Víz sűrűsége hordalékkal:  rw</t>
  </si>
  <si>
    <t>Dichtheid water incl. meegevoerd materiaal:  rw</t>
  </si>
  <si>
    <r>
      <rPr>
        <sz val="11"/>
        <rFont val="Calibri"/>
        <family val="2"/>
        <scheme val="minor"/>
      </rPr>
      <t>Gostota vode, vključno s prodnim nanosom: r</t>
    </r>
    <r>
      <rPr>
        <vertAlign val="subscript"/>
        <sz val="11"/>
        <rFont val="Calibri"/>
        <family val="2"/>
        <scheme val="minor"/>
      </rPr>
      <t>w</t>
    </r>
  </si>
  <si>
    <r>
      <rPr>
        <sz val="11"/>
        <color theme="1"/>
        <rFont val="Calibri"/>
        <family val="2"/>
        <scheme val="minor"/>
      </rPr>
      <t>Vattendensitet inkl. slam:</t>
    </r>
    <r>
      <rPr>
        <sz val="11"/>
        <color theme="1"/>
        <rFont val="Calibri"/>
        <family val="2"/>
        <scheme val="minor"/>
      </rPr>
      <t xml:space="preserve">  </t>
    </r>
    <r>
      <rPr>
        <sz val="11"/>
        <color theme="1"/>
        <rFont val="Calibri"/>
        <family val="2"/>
        <scheme val="minor"/>
      </rPr>
      <t>r</t>
    </r>
    <r>
      <rPr>
        <vertAlign val="subscript"/>
        <sz val="11"/>
        <color rgb="FF000000"/>
        <rFont val="Calibri"/>
        <family val="2"/>
        <scheme val="minor"/>
      </rPr>
      <t>w</t>
    </r>
  </si>
  <si>
    <r>
      <rPr>
        <sz val="13"/>
        <color theme="1"/>
        <rFont val="Calibri"/>
        <family val="2"/>
        <scheme val="minor"/>
      </rPr>
      <t>Vandtæthed, inkl. sediment:  r</t>
    </r>
    <r>
      <rPr>
        <vertAlign val="subscript"/>
        <sz val="13"/>
        <color rgb="FF000000"/>
        <rFont val="Calibri"/>
        <family val="2"/>
        <scheme val="minor"/>
      </rPr>
      <t>w</t>
    </r>
  </si>
  <si>
    <r>
      <rPr>
        <sz val="11"/>
        <color theme="1"/>
        <rFont val="Calibri"/>
        <family val="2"/>
        <scheme val="minor"/>
      </rPr>
      <t>Tetthet for vann inkl. rullestein:</t>
    </r>
    <r>
      <rPr>
        <sz val="11"/>
        <color theme="1"/>
        <rFont val="Calibri"/>
        <family val="2"/>
        <scheme val="minor"/>
      </rPr>
      <t xml:space="preserve">  </t>
    </r>
    <r>
      <rPr>
        <sz val="11"/>
        <color theme="1"/>
        <rFont val="Calibri"/>
        <family val="2"/>
        <scheme val="minor"/>
      </rPr>
      <t>r</t>
    </r>
    <r>
      <rPr>
        <vertAlign val="subscript"/>
        <sz val="11"/>
        <color rgb="FF000000"/>
        <rFont val="Calibri"/>
        <family val="2"/>
        <scheme val="minor"/>
      </rPr>
      <t>w</t>
    </r>
  </si>
  <si>
    <r>
      <rPr>
        <sz val="11"/>
        <color theme="1"/>
        <rFont val="Calibri"/>
        <family val="2"/>
        <scheme val="minor"/>
      </rPr>
      <t>Gustoća vode uklj. nanose:</t>
    </r>
    <r>
      <rPr>
        <sz val="11"/>
        <color theme="1"/>
        <rFont val="Calibri"/>
        <family val="2"/>
        <scheme val="minor"/>
      </rPr>
      <t xml:space="preserve">  </t>
    </r>
    <r>
      <rPr>
        <sz val="11"/>
        <color theme="1"/>
        <rFont val="Calibri"/>
        <family val="2"/>
        <scheme val="minor"/>
      </rPr>
      <t>r</t>
    </r>
    <r>
      <rPr>
        <vertAlign val="subscript"/>
        <sz val="11"/>
        <color rgb="FF000000"/>
        <rFont val="Calibri"/>
        <family val="2"/>
        <scheme val="minor"/>
      </rPr>
      <t>w</t>
    </r>
  </si>
  <si>
    <r>
      <t>Wichte Wasser: g</t>
    </r>
    <r>
      <rPr>
        <vertAlign val="subscript"/>
        <sz val="11"/>
        <rFont val="Calibri"/>
        <family val="2"/>
        <scheme val="minor"/>
      </rPr>
      <t>w</t>
    </r>
  </si>
  <si>
    <r>
      <rPr>
        <sz val="11"/>
        <color theme="1"/>
        <rFont val="Calibri"/>
        <family val="2"/>
        <scheme val="minor"/>
      </rPr>
      <t>Heavy water: g</t>
    </r>
    <r>
      <rPr>
        <vertAlign val="subscript"/>
        <sz val="11"/>
        <color rgb="FF000000"/>
        <rFont val="Calibri"/>
        <family val="2"/>
        <scheme val="minor"/>
      </rPr>
      <t>w</t>
    </r>
  </si>
  <si>
    <t>Poids spécifique de l’eau : gw</t>
  </si>
  <si>
    <t>peso specifico acqua: gw</t>
  </si>
  <si>
    <t>ciężar właściwy wody: gw</t>
  </si>
  <si>
    <t>Víz fajsúlya: gw</t>
  </si>
  <si>
    <t>Soortelijk gewicht water: gw</t>
  </si>
  <si>
    <r>
      <rPr>
        <sz val="11"/>
        <rFont val="Calibri"/>
        <family val="2"/>
        <scheme val="minor"/>
      </rPr>
      <t>Gostota vode: g</t>
    </r>
    <r>
      <rPr>
        <vertAlign val="subscript"/>
        <sz val="11"/>
        <rFont val="Calibri"/>
        <family val="2"/>
        <scheme val="minor"/>
      </rPr>
      <t>w</t>
    </r>
  </si>
  <si>
    <r>
      <rPr>
        <sz val="11"/>
        <color theme="1"/>
        <rFont val="Calibri"/>
        <family val="2"/>
        <scheme val="minor"/>
      </rPr>
      <t>Vattnets densitet: g</t>
    </r>
    <r>
      <rPr>
        <vertAlign val="subscript"/>
        <sz val="11"/>
        <color rgb="FF000000"/>
        <rFont val="Calibri"/>
        <family val="2"/>
        <scheme val="minor"/>
      </rPr>
      <t>w</t>
    </r>
  </si>
  <si>
    <r>
      <rPr>
        <sz val="13"/>
        <color theme="1"/>
        <rFont val="Calibri"/>
        <family val="2"/>
        <scheme val="minor"/>
      </rPr>
      <t>Vægt af vand: g</t>
    </r>
    <r>
      <rPr>
        <vertAlign val="subscript"/>
        <sz val="13"/>
        <color rgb="FF000000"/>
        <rFont val="Calibri"/>
        <family val="2"/>
        <scheme val="minor"/>
      </rPr>
      <t>w</t>
    </r>
  </si>
  <si>
    <r>
      <rPr>
        <sz val="11"/>
        <color theme="1"/>
        <rFont val="Calibri"/>
        <family val="2"/>
        <scheme val="minor"/>
      </rPr>
      <t>Volumvekt vann: g</t>
    </r>
    <r>
      <rPr>
        <vertAlign val="subscript"/>
        <sz val="11"/>
        <color rgb="FF000000"/>
        <rFont val="Calibri"/>
        <family val="2"/>
        <scheme val="minor"/>
      </rPr>
      <t>w</t>
    </r>
  </si>
  <si>
    <r>
      <rPr>
        <sz val="11"/>
        <color theme="1"/>
        <rFont val="Calibri"/>
        <family val="2"/>
        <scheme val="minor"/>
      </rPr>
      <t>Specifična težina vode: g</t>
    </r>
    <r>
      <rPr>
        <vertAlign val="subscript"/>
        <sz val="11"/>
        <color rgb="FF000000"/>
        <rFont val="Calibri"/>
        <family val="2"/>
        <scheme val="minor"/>
      </rPr>
      <t>w</t>
    </r>
  </si>
  <si>
    <t>Fließgeschwindigkeit: v</t>
  </si>
  <si>
    <t>Flow speed: v</t>
  </si>
  <si>
    <t>Vitesse d’écoulement : v</t>
  </si>
  <si>
    <t>Natężenie przepływu: v</t>
  </si>
  <si>
    <t>Folyási sebesség: v</t>
  </si>
  <si>
    <t>Stroomsnelheid: v</t>
  </si>
  <si>
    <r>
      <rPr>
        <sz val="11"/>
        <color theme="1"/>
        <rFont val="Calibri"/>
        <family val="2"/>
        <scheme val="minor"/>
      </rPr>
      <t>Hitrost pretoka: v</t>
    </r>
  </si>
  <si>
    <t>Flödeshastighet: v</t>
  </si>
  <si>
    <t>Strømningshastighed: v</t>
  </si>
  <si>
    <t>Strømningshastighet: v</t>
  </si>
  <si>
    <t>Brzina toka: v</t>
  </si>
  <si>
    <t>anprallende Treibgutmasse: m</t>
  </si>
  <si>
    <t>Impacting mass of flotsam: m</t>
  </si>
  <si>
    <t>Masse des débris flottants : m</t>
  </si>
  <si>
    <t>massa detriti impattanti: m</t>
  </si>
  <si>
    <t>oddziaływanie masy zanieczyszczeń: m</t>
  </si>
  <si>
    <t>Becsapódó uszadék: m</t>
  </si>
  <si>
    <t>Massa van aanstotend drijfmateriaal: m</t>
  </si>
  <si>
    <r>
      <rPr>
        <sz val="11"/>
        <color theme="1"/>
        <rFont val="Calibri"/>
        <family val="2"/>
        <scheme val="minor"/>
      </rPr>
      <t>Masa naplavin: m</t>
    </r>
  </si>
  <si>
    <t>Påtryckande flytande skräpmassa: m</t>
  </si>
  <si>
    <t>Påvirkning fra drivende genstande: m</t>
  </si>
  <si>
    <t>Drivgodsmasse som støter imot: m</t>
  </si>
  <si>
    <t>Udarajuća masa naplavina: m</t>
  </si>
  <si>
    <t>kg/m³</t>
  </si>
  <si>
    <r>
      <rPr>
        <sz val="11"/>
        <color theme="1"/>
        <rFont val="Calibri"/>
        <family val="2"/>
        <scheme val="minor"/>
      </rPr>
      <t>kg/m³</t>
    </r>
  </si>
  <si>
    <t>m/s</t>
  </si>
  <si>
    <r>
      <rPr>
        <sz val="11"/>
        <color theme="1"/>
        <rFont val="Calibri"/>
        <family val="2"/>
        <scheme val="minor"/>
      </rPr>
      <t>m/s</t>
    </r>
  </si>
  <si>
    <t>m/sek.</t>
  </si>
  <si>
    <t>t</t>
  </si>
  <si>
    <r>
      <rPr>
        <sz val="11"/>
        <color theme="1"/>
        <rFont val="Calibri"/>
        <family val="2"/>
        <scheme val="minor"/>
      </rPr>
      <t>t</t>
    </r>
  </si>
  <si>
    <t>BHW = Bemessungshochwasser</t>
  </si>
  <si>
    <t>BHW = Flood water measurement</t>
  </si>
  <si>
    <t>BHW : hauteur de retenue d’eau</t>
  </si>
  <si>
    <t>BHW = Misura del livello di piena</t>
  </si>
  <si>
    <t>BHW = powódź projektowa </t>
  </si>
  <si>
    <t>MÁSZ = mértékadó árvízszint</t>
  </si>
  <si>
    <t>BHW = maatgevende hoogwaterstand</t>
  </si>
  <si>
    <r>
      <rPr>
        <sz val="11"/>
        <color theme="1"/>
        <rFont val="Calibri"/>
        <family val="2"/>
        <scheme val="minor"/>
      </rPr>
      <t>BHW = visoka voda za dimenzioniranje</t>
    </r>
  </si>
  <si>
    <t>BHW = Högsta högvattennivå</t>
  </si>
  <si>
    <t>BHW = Design-højvandsstand</t>
  </si>
  <si>
    <t>BHW = flommåling</t>
  </si>
  <si>
    <t>BHW = projektna poplava</t>
  </si>
  <si>
    <t>Abbildung 1</t>
  </si>
  <si>
    <t>Figure 1</t>
  </si>
  <si>
    <t>Illustration 1</t>
  </si>
  <si>
    <t>disegno  1</t>
  </si>
  <si>
    <t>Rysunek 1</t>
  </si>
  <si>
    <t>1. ábra</t>
  </si>
  <si>
    <t>Afbeelding 1</t>
  </si>
  <si>
    <r>
      <rPr>
        <sz val="11"/>
        <color theme="1"/>
        <rFont val="Calibri"/>
        <family val="2"/>
        <scheme val="minor"/>
      </rPr>
      <t>Slika 1</t>
    </r>
  </si>
  <si>
    <t>Figur 1</t>
  </si>
  <si>
    <t>Bilde 1</t>
  </si>
  <si>
    <t>Slika 1</t>
  </si>
  <si>
    <t>[VPE]</t>
  </si>
  <si>
    <t>[packaging unit]</t>
  </si>
  <si>
    <t>[UE]</t>
  </si>
  <si>
    <t>[CSE]</t>
  </si>
  <si>
    <t>[Verpakking]</t>
  </si>
  <si>
    <r>
      <rPr>
        <sz val="11"/>
        <color theme="1"/>
        <rFont val="Calibri"/>
        <family val="2"/>
        <scheme val="minor"/>
      </rPr>
      <t>[VPE]</t>
    </r>
  </si>
  <si>
    <t>[förpackningsenhet]</t>
  </si>
  <si>
    <t>[emballageenhed]</t>
  </si>
  <si>
    <t>[pakningsenhet]</t>
  </si>
  <si>
    <t>[PA]</t>
  </si>
  <si>
    <t>kN/m³</t>
  </si>
  <si>
    <r>
      <rPr>
        <sz val="11"/>
        <color theme="1"/>
        <rFont val="Calibri"/>
        <family val="2"/>
        <scheme val="minor"/>
      </rPr>
      <t>kN/m³</t>
    </r>
  </si>
  <si>
    <t>Freibord [mm]:</t>
  </si>
  <si>
    <t>Free board [mm]:</t>
  </si>
  <si>
    <t>Franc-bord [mm] :</t>
  </si>
  <si>
    <t>Szabadoldal [mm]:</t>
  </si>
  <si>
    <t>Vrijboord [mm]:</t>
  </si>
  <si>
    <r>
      <rPr>
        <sz val="11"/>
        <color theme="1"/>
        <rFont val="Calibri"/>
        <family val="2"/>
        <scheme val="minor"/>
      </rPr>
      <t>Nadvodje [mm]:</t>
    </r>
  </si>
  <si>
    <t>Fribord [mm]:</t>
  </si>
  <si>
    <t>Nadvođe [mm]:</t>
  </si>
  <si>
    <t>Stauhöhe (BHW) [mm]:</t>
  </si>
  <si>
    <t>Design flood (BHW) [mm]:</t>
  </si>
  <si>
    <t>Árvízszint (MÁSZ) [mm]:</t>
  </si>
  <si>
    <t>Stuwhoogte (maatgevende hoogwaterstand) [mm]:</t>
  </si>
  <si>
    <r>
      <rPr>
        <sz val="11"/>
        <color theme="1"/>
        <rFont val="Calibri"/>
        <family val="2"/>
        <scheme val="minor"/>
      </rPr>
      <t>Zajezitvena višina (Visoka voda za dimenzioniranje) [mm]:</t>
    </r>
  </si>
  <si>
    <t>Uppdämningshöjd (BHW) [mm]:</t>
  </si>
  <si>
    <t>Normal vandstandshøjde (BHW) [mm]:</t>
  </si>
  <si>
    <t>Stablehøyde (BHW) [mm]:</t>
  </si>
  <si>
    <t>Usporna visina (BHW) [mm]:</t>
  </si>
  <si>
    <t>VS = Volleinstau</t>
  </si>
  <si>
    <t>VS = Full reservoir</t>
  </si>
  <si>
    <t>TÁ = teljes elárasztás</t>
  </si>
  <si>
    <t>VS = Volledige stuwing</t>
  </si>
  <si>
    <r>
      <rPr>
        <sz val="11"/>
        <color theme="1"/>
        <rFont val="Calibri"/>
        <family val="2"/>
        <scheme val="minor"/>
      </rPr>
      <t>VS = popolna zajezitev</t>
    </r>
  </si>
  <si>
    <t>VS = Full infiltration</t>
  </si>
  <si>
    <t>VS = fuldt reservoir</t>
  </si>
  <si>
    <t>VS = Fullinnstabling</t>
  </si>
  <si>
    <t>VS = maks. visina zadržavanja</t>
  </si>
  <si>
    <t>FB = Freibord</t>
  </si>
  <si>
    <t>FB = Free board</t>
  </si>
  <si>
    <t>FB : franc-bord</t>
  </si>
  <si>
    <t>SZO = szabadoldal</t>
  </si>
  <si>
    <t>VB = Vrijboord</t>
  </si>
  <si>
    <r>
      <rPr>
        <sz val="11"/>
        <color theme="1"/>
        <rFont val="Calibri"/>
        <family val="2"/>
        <scheme val="minor"/>
      </rPr>
      <t>FB = nadvodje</t>
    </r>
  </si>
  <si>
    <t>FB = Fribord</t>
  </si>
  <si>
    <t>FB = fribord</t>
  </si>
  <si>
    <t>FB = nadvođe</t>
  </si>
  <si>
    <t>anprallende Treibgutmasse:</t>
  </si>
  <si>
    <t>Impacting mass of flotsam:</t>
  </si>
  <si>
    <t>Masse des débris flottants :</t>
  </si>
  <si>
    <t>nekisodródó uszadék:</t>
  </si>
  <si>
    <t>Massa van aanstotend drijfmateriaal:</t>
  </si>
  <si>
    <t>Masa naplavin:</t>
  </si>
  <si>
    <t>Påtryckande flytande skräpmassa:</t>
  </si>
  <si>
    <t>Påvirkning fra drivende genstande:</t>
  </si>
  <si>
    <t>Drivgodsmasse som støter imot:</t>
  </si>
  <si>
    <t>Udarajuća masa naplavina:</t>
  </si>
  <si>
    <t>Anströmwinkel:</t>
  </si>
  <si>
    <t>Inflow angle:</t>
  </si>
  <si>
    <t>Angle d’incidence :</t>
  </si>
  <si>
    <t>Beesési szög:</t>
  </si>
  <si>
    <t>Invalshoek:</t>
  </si>
  <si>
    <t>Vpadni kot:</t>
  </si>
  <si>
    <t>Infallsvinkel:</t>
  </si>
  <si>
    <t>Indstrømningsvinkel:</t>
  </si>
  <si>
    <t>Tilstrømmingsvinkel:</t>
  </si>
  <si>
    <t>Kut pritjecanja:</t>
  </si>
  <si>
    <t>Ausnutzung HD:</t>
  </si>
  <si>
    <t>Utilisation of HD:</t>
  </si>
  <si>
    <t>Charge statique HD :</t>
  </si>
  <si>
    <t>Kihasználtság HD:</t>
  </si>
  <si>
    <t>Benutting HD:</t>
  </si>
  <si>
    <t>Izkoristek HD:</t>
  </si>
  <si>
    <t>Utnyttjande HD:</t>
  </si>
  <si>
    <t>Udnyttelse HD:</t>
  </si>
  <si>
    <t>Utnyttelse HD:</t>
  </si>
  <si>
    <t>Iskorištenje HD:</t>
  </si>
  <si>
    <t>Ausnutzung HD+HS:</t>
  </si>
  <si>
    <t>Utilisation of HD + HS:</t>
  </si>
  <si>
    <t>Charge statique HD + HS :</t>
  </si>
  <si>
    <t>Kihasználtság HD+HS:</t>
  </si>
  <si>
    <t>Benutting HD+HS:</t>
  </si>
  <si>
    <t>Izkoristek HD+HS:</t>
  </si>
  <si>
    <t>Utnyttjande HD+HS:</t>
  </si>
  <si>
    <t>Udnyttelse HD+HS:</t>
  </si>
  <si>
    <t>Utnyttelse HD+HS:</t>
  </si>
  <si>
    <t>Iskorištenje HD+HS:</t>
  </si>
  <si>
    <t>Ausnutzung HS:</t>
  </si>
  <si>
    <t>Utilisation of HS:</t>
  </si>
  <si>
    <t>Charge statique HS :</t>
  </si>
  <si>
    <t>Kihasználtság HS:</t>
  </si>
  <si>
    <t>Benutting HS:</t>
  </si>
  <si>
    <t>Izkoristek HS:</t>
  </si>
  <si>
    <t>Utnyttjande HS:</t>
  </si>
  <si>
    <t>Udnyttelse HS:</t>
  </si>
  <si>
    <t>Utnyttelse HS:</t>
  </si>
  <si>
    <t>Iskorištenje HS:</t>
  </si>
  <si>
    <t>Ausnutzung zufolge</t>
  </si>
  <si>
    <t>Utilisation according to</t>
  </si>
  <si>
    <t>en fonction de la charge statique</t>
  </si>
  <si>
    <t>Kihasználtság a köv. következtében</t>
  </si>
  <si>
    <t>Benutting overeenkomstig</t>
  </si>
  <si>
    <t>Izkoristek kot posledica</t>
  </si>
  <si>
    <t>Utnyttjande beroende på</t>
  </si>
  <si>
    <t>Udnyttelse som følge af</t>
  </si>
  <si>
    <t>Utnyttelse i følge</t>
  </si>
  <si>
    <t>Iskorištenje prema</t>
  </si>
  <si>
    <t>Ausnutzung:</t>
  </si>
  <si>
    <t>Utilisation:</t>
  </si>
  <si>
    <t>Charge statique :</t>
  </si>
  <si>
    <t>Kihasználtság:</t>
  </si>
  <si>
    <t>Benutting:</t>
  </si>
  <si>
    <t>Izkoristek:</t>
  </si>
  <si>
    <t>Utnyttjande:</t>
  </si>
  <si>
    <t>Udnyttelse:</t>
  </si>
  <si>
    <t>Utnyttelse:</t>
  </si>
  <si>
    <t>Iskorištenje:</t>
  </si>
  <si>
    <t>Bemessungsmoment HD:</t>
  </si>
  <si>
    <t>Rated torque HD:</t>
  </si>
  <si>
    <t>Moment de calcul HD :</t>
  </si>
  <si>
    <t>Mértékadó nyomaték HD:</t>
  </si>
  <si>
    <t>Meetmoment HD:</t>
  </si>
  <si>
    <t>Nazivni navor HD:</t>
  </si>
  <si>
    <t>Mätmoment HD:</t>
  </si>
  <si>
    <t>Beregningsmoment HD:</t>
  </si>
  <si>
    <t>Kalibreringsmoment HD:</t>
  </si>
  <si>
    <t>Projektirani moment HD:</t>
  </si>
  <si>
    <t>Bemessungsmoment HD+HS:</t>
  </si>
  <si>
    <t>Rated torque HD + HS:</t>
  </si>
  <si>
    <t>Moment de calcul HD + HS :</t>
  </si>
  <si>
    <t>Mértékadó nyomaték HD+HS:</t>
  </si>
  <si>
    <t>Meetmoment HD+HS:</t>
  </si>
  <si>
    <t>Nazivni navor HD+HS:</t>
  </si>
  <si>
    <t>Mätmoment HD+HS:</t>
  </si>
  <si>
    <t>Beregningsmoment HD+HS:</t>
  </si>
  <si>
    <t>Kalibreringsmoment HD+HS:</t>
  </si>
  <si>
    <t>Projektirani moment HD+HS:</t>
  </si>
  <si>
    <t>Bemessungsmoment HS:</t>
  </si>
  <si>
    <t>Rated torque HS:</t>
  </si>
  <si>
    <t>Moment de calcul HS :</t>
  </si>
  <si>
    <t>Mértékadó nyomaték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</si>
  <si>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</si>
  <si>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</si>
  <si>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</si>
  <si>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</si>
  <si>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</si>
  <si>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</si>
  <si>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</si>
  <si>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</si>
  <si>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</si>
  <si>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Mértékadó nyomaték uszadék:</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</si>
  <si>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</si>
  <si>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</si>
  <si>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</si>
  <si>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</si>
  <si>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</si>
  <si>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</si>
  <si>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</si>
  <si>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</si>
  <si>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</si>
  <si>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Mértékadó nyomaték:</t>
  </si>
  <si>
    <t>Meetmoment:</t>
  </si>
  <si>
    <t>Nazivni navor:</t>
  </si>
  <si>
    <t>Mätmoment:</t>
  </si>
  <si>
    <t>Beregningsmoment:</t>
  </si>
  <si>
    <t>Kalibreringsmoment:</t>
  </si>
  <si>
    <t>Projektirani moment:</t>
  </si>
  <si>
    <t>Dichte Wasser inkl. Geschiebe:</t>
  </si>
  <si>
    <t>Density of water incl. bed load:</t>
  </si>
  <si>
    <t>Masse volumique de l’eau (avec matériaux de charriage) :</t>
  </si>
  <si>
    <t>Víz fajsúlya hordalékkal::</t>
  </si>
  <si>
    <t>Dichtheid water incl. meegevoerd materiaal:</t>
  </si>
  <si>
    <t>Gostota vode, vključno s prodnim nanosom:</t>
  </si>
  <si>
    <t>Vattendensitet inkl. slam:</t>
  </si>
  <si>
    <t>Vandtæthed, inkl. sediment:</t>
  </si>
  <si>
    <t>Tetthet for vann inkl. rullestein:</t>
  </si>
  <si>
    <t>Gustoća vode uklj. nanose:</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</si>
  <si>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</si>
  <si>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</si>
  <si>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</si>
  <si>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Az elmentett árak az új árlista kiadásáig, de az előzetes árváltoztatás jogát fenntartva érvényesek.</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</si>
  <si>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</si>
  <si>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</si>
  <si>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</si>
  <si>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</si>
  <si>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</si>
  <si>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</si>
  <si>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Durchbiegung HD:</t>
  </si>
  <si>
    <t>Deflection HD:</t>
  </si>
  <si>
    <t>Flèche HD :</t>
  </si>
  <si>
    <t>Kihajlás HD:</t>
  </si>
  <si>
    <t>Doorbuiging HD:</t>
  </si>
  <si>
    <t>Upogibanje HD:</t>
  </si>
  <si>
    <t>Nedböjning HD:</t>
  </si>
  <si>
    <t>Nedbøjning HD:</t>
  </si>
  <si>
    <t>Nedbøyning HD:</t>
  </si>
  <si>
    <t>Progib HD:</t>
  </si>
  <si>
    <t>Durchbiegung HD+HS:</t>
  </si>
  <si>
    <t>Deflection HD + HS:</t>
  </si>
  <si>
    <t>Flèche HD + HS :</t>
  </si>
  <si>
    <t>Kihajlás HD+HS:</t>
  </si>
  <si>
    <t>Doorbuiging HD+HS:</t>
  </si>
  <si>
    <t>Upogibanje HD+HS:</t>
  </si>
  <si>
    <t>Nedböjning HD+HS:</t>
  </si>
  <si>
    <t>Nedbøjning HD+HS:</t>
  </si>
  <si>
    <t>Nedbøyning HD+HS:</t>
  </si>
  <si>
    <t>Progib HD+HS:</t>
  </si>
  <si>
    <t>Durchbiegung HS:</t>
  </si>
  <si>
    <t>Deflection HS:</t>
  </si>
  <si>
    <t>Flèche HS :</t>
  </si>
  <si>
    <t>Kihajlás HS:</t>
  </si>
  <si>
    <t>Doorbuiging HS:</t>
  </si>
  <si>
    <t>Upogibanje HS:</t>
  </si>
  <si>
    <t>Nedböjning HS:</t>
  </si>
  <si>
    <t>Nedbøjning HS:</t>
  </si>
  <si>
    <t>Nedbøyning HS:</t>
  </si>
  <si>
    <t>Progib HS:</t>
  </si>
  <si>
    <t>Durchbiegung:</t>
  </si>
  <si>
    <t>Deflection:</t>
  </si>
  <si>
    <t>Flèche :</t>
  </si>
  <si>
    <t>Kihajlás:</t>
  </si>
  <si>
    <t>Doorbuiging:</t>
  </si>
  <si>
    <t>Upogibanje:</t>
  </si>
  <si>
    <t>Nedböjning:</t>
  </si>
  <si>
    <t>Nedbøjning:</t>
  </si>
  <si>
    <t>Nedbøyning:</t>
  </si>
  <si>
    <t>Progib:</t>
  </si>
  <si>
    <t>Dynamische Daten:</t>
  </si>
  <si>
    <t>Dynamic data:</t>
  </si>
  <si>
    <t>Données dynamiques :</t>
  </si>
  <si>
    <t>Dinamikai adatok:</t>
  </si>
  <si>
    <t>Dynamische gegevens:</t>
  </si>
  <si>
    <t>Dinamični podatki:</t>
  </si>
  <si>
    <t>Dynamiska data:</t>
  </si>
  <si>
    <t>Dynamiske data:</t>
  </si>
  <si>
    <t>Dinamički podaci:</t>
  </si>
  <si>
    <t>E Modul: EAL</t>
  </si>
  <si>
    <t>E module: EAL</t>
  </si>
  <si>
    <t>E modul</t>
  </si>
  <si>
    <t>Elektrische module: EAL</t>
  </si>
  <si>
    <t>E-modul: EAL</t>
  </si>
  <si>
    <t>E modul: EAL</t>
  </si>
  <si>
    <t>Ersatzfedersteifigkeit:</t>
  </si>
  <si>
    <t>Rigidity of replacement spring:</t>
  </si>
  <si>
    <t>Résistance à la flexion :</t>
  </si>
  <si>
    <t>Helyettesítő rugómerevség:</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</si>
  <si>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</si>
  <si>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</si>
  <si>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</si>
  <si>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</si>
  <si>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</si>
  <si>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</si>
  <si>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</si>
  <si>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</si>
  <si>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</si>
  <si>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Uszadékot helyettesítő teher:</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</si>
  <si>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</si>
  <si>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</si>
  <si>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</si>
  <si>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</si>
  <si>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</si>
  <si>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</si>
  <si>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Feld</t>
  </si>
  <si>
    <t>Field</t>
  </si>
  <si>
    <t>Travée</t>
  </si>
  <si>
    <t>Mező</t>
  </si>
  <si>
    <t>Veld</t>
  </si>
  <si>
    <t>Polje</t>
  </si>
  <si>
    <t>Fält</t>
  </si>
  <si>
    <t>Felt</t>
  </si>
  <si>
    <t>Fließgeschwindigkeit:</t>
  </si>
  <si>
    <t>Flow speed:</t>
  </si>
  <si>
    <t>Vitesse d’écoulement :</t>
  </si>
  <si>
    <t xml:space="preserve">Folyási sebesség:  </t>
  </si>
  <si>
    <t>Stroomsnelheid:</t>
  </si>
  <si>
    <t>Hitrost pretoka:</t>
  </si>
  <si>
    <t>Flödeshastighet:</t>
  </si>
  <si>
    <t>Strømningshastighed:</t>
  </si>
  <si>
    <t>Strømningshastighet:</t>
  </si>
  <si>
    <t>Brzina toka:</t>
  </si>
  <si>
    <t>Hydrodynamisch (HD) &amp; Hydrostatisch (HS)</t>
  </si>
  <si>
    <t>Hydrodynamic (HD) &amp; hydrostatic (HS)</t>
  </si>
  <si>
    <t>Hydrodynamique (HD) et hydrostatique (HS)</t>
  </si>
  <si>
    <t>Hidrodinamikai (HD) &amp; hidrosztatikai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</si>
  <si>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</si>
  <si>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</si>
  <si>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</si>
  <si>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</si>
  <si>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</si>
  <si>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</si>
  <si>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Hydrodynamischer Druck am Balken:</t>
  </si>
  <si>
    <t>Hydrodynamic pressure on panel:</t>
  </si>
  <si>
    <t>Pression hydrodynamique exercée sur le batardeau :</t>
  </si>
  <si>
    <t>Hidrodinamikai nyomás a gerendán:</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</si>
  <si>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</si>
  <si>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</si>
  <si>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</si>
  <si>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</si>
  <si>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</si>
  <si>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</si>
  <si>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</si>
  <si>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</si>
  <si>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</si>
  <si>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Hidrodinamikai nyomás az oszlopon:</t>
  </si>
  <si>
    <t>Hydrodynamische druk op de pijler:</t>
  </si>
  <si>
    <t>Hidrodinamični tlak na nosilcu:</t>
  </si>
  <si>
    <t>Hydrodynamiskt tryck på påle:</t>
  </si>
  <si>
    <t>Hydrodynamisk tryk på pæl:</t>
  </si>
  <si>
    <t>Hydrodynamisk trykk på bukken:</t>
  </si>
  <si>
    <t>Hidrodinamički tlak na stupu:</t>
  </si>
  <si>
    <t>Hydrostatischer + Hydrodynamischer Druck am Balken:</t>
  </si>
  <si>
    <t>Hydrostatic + hydrodynamic pressure on panel:</t>
  </si>
  <si>
    <t>Pressions hydrostatique et hydrodynamique exercées sur le batardeau :</t>
  </si>
  <si>
    <t>Hidrosztatikai és hidrodinamikai nyomás a gerendán:</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</si>
  <si>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</si>
  <si>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</si>
  <si>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</si>
  <si>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</si>
  <si>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</si>
  <si>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</si>
  <si>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</si>
  <si>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</si>
  <si>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</si>
  <si>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Hidrosztatikai nyomás a gerendán:</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</si>
  <si>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</si>
  <si>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</si>
  <si>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</si>
  <si>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</si>
  <si>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</si>
  <si>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</si>
  <si>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</si>
  <si>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</si>
  <si>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</si>
  <si>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Hidrosztatikai nyomás a z oszlopon:</t>
  </si>
  <si>
    <t>Hydrostatische druk op de pijler:</t>
  </si>
  <si>
    <t>Hidrostatični tlak na nosilcu:</t>
  </si>
  <si>
    <t>Hydrostatiskt tryck på påle:</t>
  </si>
  <si>
    <t>Hydrostatisk tryk på pæl:</t>
  </si>
  <si>
    <t>Hydrostatisk trykk på bukken:</t>
  </si>
  <si>
    <t>Hidrostatski tlak na stupu:</t>
  </si>
  <si>
    <t>Kombination Hydrodynamisch + Hydrostatisch + Treibgut</t>
  </si>
  <si>
    <t>Combination of hydrodynamic + hydrostatic + flotsam</t>
  </si>
  <si>
    <t>Combinaison hydrodynamique + hydrostatique + débris flottants</t>
  </si>
  <si>
    <t>Hidrodinamikai + hidrosztatikai + uszadék kombinációja</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</si>
  <si>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</si>
  <si>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</si>
  <si>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</si>
  <si>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</si>
  <si>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</si>
  <si>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</si>
  <si>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</si>
  <si>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</si>
  <si>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</si>
  <si>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Kombinációs együttható:</t>
  </si>
  <si>
    <t>Combinatiefactor:</t>
  </si>
  <si>
    <t>Kombinacijski koeficient:</t>
  </si>
  <si>
    <t>Kombinationskoefficient:</t>
  </si>
  <si>
    <t>Kombinasjonsparameter:</t>
  </si>
  <si>
    <t>Koeficijent kombinacije:</t>
  </si>
  <si>
    <t>Materialdaten:</t>
  </si>
  <si>
    <t>Material data:</t>
  </si>
  <si>
    <t>Informations relatives au matériau :</t>
  </si>
  <si>
    <t>Alapanyag adatok:</t>
  </si>
  <si>
    <t>Materiaalgegevens:</t>
  </si>
  <si>
    <t>Podatki o materialu:</t>
  </si>
  <si>
    <t>Materialdata:</t>
  </si>
  <si>
    <t>Materialedata:</t>
  </si>
  <si>
    <t>Podaci o materijalu:</t>
  </si>
  <si>
    <t>Moment zufolge Gesamtdruck:</t>
  </si>
  <si>
    <t>Torque due to total pressure:</t>
  </si>
  <si>
    <t>Moment en fonction de la pression totale :</t>
  </si>
  <si>
    <t>Teljes nyomásra fellépő nyomaték:</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</si>
  <si>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</si>
  <si>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</si>
  <si>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</si>
  <si>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</si>
  <si>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</si>
  <si>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</si>
  <si>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</si>
  <si>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</si>
  <si>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</si>
  <si>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HD nyomaték:</t>
  </si>
  <si>
    <t>Moment overeenkomstig HD:</t>
  </si>
  <si>
    <t>Navor zaradi HD:</t>
  </si>
  <si>
    <t>Moment beroende på HD:</t>
  </si>
  <si>
    <t>Moment som følge af HD:</t>
  </si>
  <si>
    <t>Moment iht. HD:</t>
  </si>
  <si>
    <t>Moment prema HD:</t>
  </si>
  <si>
    <t>Moment zufolge HD+HS:</t>
  </si>
  <si>
    <t>Torque due to HD + HS:</t>
  </si>
  <si>
    <t>Moment en fonction de HD + HS :</t>
  </si>
  <si>
    <t>HD+HS nyomaték:</t>
  </si>
  <si>
    <t>Moment overeenkomstig HD+HS:</t>
  </si>
  <si>
    <t>Navor zaradi HD+HS:</t>
  </si>
  <si>
    <t>Moment beroende på HD+HS:</t>
  </si>
  <si>
    <t>Moment som følge af HD+HS:</t>
  </si>
  <si>
    <t>Moment iht. HD+HS:</t>
  </si>
  <si>
    <t>Moment prema HD+HS:</t>
  </si>
  <si>
    <t>Moment zufolge HS:</t>
  </si>
  <si>
    <t>Torque due to HS:</t>
  </si>
  <si>
    <t>Moment en fonction de HS :</t>
  </si>
  <si>
    <t>HS nyomaték:</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</si>
  <si>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</si>
  <si>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</si>
  <si>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</si>
  <si>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</si>
  <si>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</si>
  <si>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</si>
  <si>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</si>
  <si>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</si>
  <si>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</si>
  <si>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Uszadék okozta nyomaték:</t>
  </si>
  <si>
    <t>Moment overeenkomstig drijfmateriaal:</t>
  </si>
  <si>
    <t>Navor zaradi naplavin:</t>
  </si>
  <si>
    <t>Moment beroende på flytande skräp:</t>
  </si>
  <si>
    <t>Moment som følge af drivende genstande:</t>
  </si>
  <si>
    <t>Moment iht. drivgods:</t>
  </si>
  <si>
    <t>Moment prema naplavini:</t>
  </si>
  <si>
    <t>Nach Ablauf des Datums (noch</t>
  </si>
  <si>
    <t>After date (</t>
  </si>
  <si>
    <t>Après cette date (encore</t>
  </si>
  <si>
    <t>Dátum lejárata után (még</t>
  </si>
  <si>
    <t>Na passeren van de datum (nog</t>
  </si>
  <si>
    <t>Po preteku datuma (še</t>
  </si>
  <si>
    <t>Efter datumet (fortfarande</t>
  </si>
  <si>
    <t>Efter datoens udløb (endnu</t>
  </si>
  <si>
    <t>Etter at datoen er utløpt (gjenstående</t>
  </si>
  <si>
    <t>Nakon isteka datuma (još</t>
  </si>
  <si>
    <t>Spannung  infolge Treibgut:</t>
  </si>
  <si>
    <t>Pressure due to flotsam:</t>
  </si>
  <si>
    <t>Tension générée par les débris flottants :</t>
  </si>
  <si>
    <t>Uszadék okozta feszültség:</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</si>
  <si>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</si>
  <si>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</si>
  <si>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</si>
  <si>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</si>
  <si>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</si>
  <si>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</si>
  <si>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</si>
  <si>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</si>
  <si>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</si>
  <si>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HD feszültség:</t>
  </si>
  <si>
    <t>Spanning HD:</t>
  </si>
  <si>
    <t>Napetost HD:</t>
  </si>
  <si>
    <t>Spänning HD:</t>
  </si>
  <si>
    <t>Spænding HD:</t>
  </si>
  <si>
    <t>Spenning HD:</t>
  </si>
  <si>
    <t>Naprezanje HD:</t>
  </si>
  <si>
    <t>Spannung HD+HS:</t>
  </si>
  <si>
    <t>Pressure HD + HS:</t>
  </si>
  <si>
    <t>Tension HD + HS :</t>
  </si>
  <si>
    <t>HD+HS feszültség:</t>
  </si>
  <si>
    <t>Spanning HD+HS:</t>
  </si>
  <si>
    <t>Napetost HD+HS:</t>
  </si>
  <si>
    <t>Spänning HD+HS:</t>
  </si>
  <si>
    <t>Spænding HD+HS:</t>
  </si>
  <si>
    <t>Spenning HD+HS:</t>
  </si>
  <si>
    <t>Naprezanje HD+HS:</t>
  </si>
  <si>
    <t>Spannung HS:</t>
  </si>
  <si>
    <t>Pressure HS:</t>
  </si>
  <si>
    <t>Tension HS :</t>
  </si>
  <si>
    <t>HS feszültség:</t>
  </si>
  <si>
    <t>Spanning HS:</t>
  </si>
  <si>
    <t>Napetost HS:</t>
  </si>
  <si>
    <t>Spänning HS:</t>
  </si>
  <si>
    <t>Spænding HS:</t>
  </si>
  <si>
    <t>Spenning HS:</t>
  </si>
  <si>
    <t>Naprezanje HS:</t>
  </si>
  <si>
    <t>Spannung infolge Treibgut:</t>
  </si>
  <si>
    <t>Spänning p.g.a. flytande skräp:</t>
  </si>
  <si>
    <t>Spenning iht. drivgods:</t>
  </si>
  <si>
    <t>Spannung zufolge</t>
  </si>
  <si>
    <t>Pressure due to</t>
  </si>
  <si>
    <t>en fonction de la tension</t>
  </si>
  <si>
    <t>Feszültség a köv. következtében:</t>
  </si>
  <si>
    <t>Spanning overeenkomstig</t>
  </si>
  <si>
    <t>Napetost zaradi</t>
  </si>
  <si>
    <t>Spänning beroende på</t>
  </si>
  <si>
    <t>Spænding som følge af</t>
  </si>
  <si>
    <t>Spenning iht.</t>
  </si>
  <si>
    <t>Naprezanje prema</t>
  </si>
  <si>
    <t>Spannung:</t>
  </si>
  <si>
    <t>Pressure:</t>
  </si>
  <si>
    <t>Tension :</t>
  </si>
  <si>
    <t>Feszültség:</t>
  </si>
  <si>
    <t>Spanning:</t>
  </si>
  <si>
    <t>Napetost:</t>
  </si>
  <si>
    <t>Spänning:</t>
  </si>
  <si>
    <t>Spænding:</t>
  </si>
  <si>
    <t>Spenning:</t>
  </si>
  <si>
    <t>Naprezanje:</t>
  </si>
  <si>
    <t>Streckgrenze Rp 0,2:</t>
  </si>
  <si>
    <t>Yield Strength Rp 0.2:</t>
  </si>
  <si>
    <t>Limite d’élasticité Rp 0,2 :</t>
  </si>
  <si>
    <t>Folyáshatár Rp 0,2:</t>
  </si>
  <si>
    <t>Rekgrens Rp 0,2:</t>
  </si>
  <si>
    <t>Meja raztezanja Rp 0,2:</t>
  </si>
  <si>
    <t>Resttöjningsgräns Rp 0,2:</t>
  </si>
  <si>
    <t>Strækgrænse Rp 0,2:</t>
  </si>
  <si>
    <t>Strekkgrense Rp 0,2:</t>
  </si>
  <si>
    <t>Granica rastezanja Rp 0,2:</t>
  </si>
  <si>
    <t>Stützweite / Durchbiegung HD:</t>
  </si>
  <si>
    <t>Span / Deflection HD:</t>
  </si>
  <si>
    <t>Distance entre appuis / flèche HD :</t>
  </si>
  <si>
    <t>Fesztáv / kihajlás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</si>
  <si>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</si>
  <si>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</si>
  <si>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</si>
  <si>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</si>
  <si>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</si>
  <si>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</si>
  <si>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</si>
  <si>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</si>
  <si>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</si>
  <si>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Fesztáv / kihajlás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</si>
  <si>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</si>
  <si>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</si>
  <si>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</si>
  <si>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</si>
  <si>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</si>
  <si>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</si>
  <si>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</si>
  <si>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</si>
  <si>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</si>
  <si>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Fesztáv / kihajlás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</si>
  <si>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</si>
  <si>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</si>
  <si>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</si>
  <si>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</si>
  <si>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</si>
  <si>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</si>
  <si>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</si>
  <si>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</si>
  <si>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</si>
  <si>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Fesztáv / kihajlás:</t>
  </si>
  <si>
    <t>Overspanning / doorbuiging:</t>
  </si>
  <si>
    <t>Oporna širina/upogibanje:</t>
  </si>
  <si>
    <t>Hållarbredd/nedböjning:</t>
  </si>
  <si>
    <t>Støttevidde/nedbøjning:</t>
  </si>
  <si>
    <t>Støttebredde/nedbøyning:</t>
  </si>
  <si>
    <t>Razmak potpornja / progib:</t>
  </si>
  <si>
    <t>Tage)</t>
  </si>
  <si>
    <t>days to go)</t>
  </si>
  <si>
    <t>napig)</t>
  </si>
  <si>
    <t>dagen)</t>
  </si>
  <si>
    <t>dni)</t>
  </si>
  <si>
    <t>dagar)</t>
  </si>
  <si>
    <t>dage)</t>
  </si>
  <si>
    <t>dager)</t>
  </si>
  <si>
    <t>dana)</t>
  </si>
  <si>
    <t>Teilsicherheit Last:</t>
  </si>
  <si>
    <t>Partial safety load:</t>
  </si>
  <si>
    <t>Sécurité partielle (charge) :</t>
  </si>
  <si>
    <t>Teher részbiztonsági tényező::</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</si>
  <si>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</si>
  <si>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</si>
  <si>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</si>
  <si>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</si>
  <si>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</si>
  <si>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</si>
  <si>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</si>
  <si>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</si>
  <si>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</si>
  <si>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Alapanyag részbiztonsági tényező:</t>
  </si>
  <si>
    <t>Partiële factor materiaal:</t>
  </si>
  <si>
    <t>Varnost delov material:</t>
  </si>
  <si>
    <t>Delsäkerhet material:</t>
  </si>
  <si>
    <t>Delsikkerhed materiale:</t>
  </si>
  <si>
    <t>Delsikkerhet material:</t>
  </si>
  <si>
    <t>Djelomična sigurnost materijal:</t>
  </si>
  <si>
    <t>Treibgut</t>
  </si>
  <si>
    <t>Flotsam</t>
  </si>
  <si>
    <t>Uszadék</t>
  </si>
  <si>
    <t>Drijfmateriaal</t>
  </si>
  <si>
    <t>Naplavine</t>
  </si>
  <si>
    <t>Drivende genstande</t>
  </si>
  <si>
    <t>Drivgods</t>
  </si>
  <si>
    <t>verliert die Excel seine Funktionsfähigkeit</t>
  </si>
  <si>
    <t>the excel file will lose its functionality</t>
  </si>
  <si>
    <t>az Excel táblázat elveszíti hatását</t>
  </si>
  <si>
    <t>kan de Excel niet meer worden gebruikt</t>
  </si>
  <si>
    <t>Excel izgubi svojo funkcijo</t>
  </si>
  <si>
    <t>förlorar Excel sin funktion</t>
  </si>
  <si>
    <t>mister Excel sin funktion</t>
  </si>
  <si>
    <t>fungerer ikke Excel som det skal</t>
  </si>
  <si>
    <t>Excel gubi svoju funkcionalnost</t>
  </si>
  <si>
    <t>Version:</t>
  </si>
  <si>
    <t>Verziószám:</t>
  </si>
  <si>
    <t>Versie:</t>
  </si>
  <si>
    <t>Različica:</t>
  </si>
  <si>
    <t>Versjon:</t>
  </si>
  <si>
    <t>Verzija:</t>
  </si>
  <si>
    <t>Maximale Durchbiegung Dammbalken (1/150 = Standard)</t>
  </si>
  <si>
    <t>max. Deflection Stop logs (1/150 = Standard)</t>
  </si>
  <si>
    <t>max. Durchbiegung Dammbalken (1/150 = Standard)</t>
  </si>
  <si>
    <t>max. Kihajlás Gátgerenda (1/150 = Standard)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</si>
  <si>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</si>
  <si>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</si>
  <si>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</si>
  <si>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</si>
  <si>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</si>
  <si>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</si>
  <si>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</si>
  <si>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</si>
  <si>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max. Durchbiegung Rundsteher (1/150 = Standard)</t>
  </si>
  <si>
    <t>max. Kihajlás Körprofil (1/150 = Standard)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</si>
  <si>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</si>
  <si>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</si>
  <si>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</si>
  <si>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</si>
  <si>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</si>
  <si>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</si>
  <si>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t>
  </si>
  <si>
    <t>Schnittgrößen und Bemessung:</t>
  </si>
  <si>
    <t>Statik Dammbalken:</t>
  </si>
  <si>
    <t>80/200</t>
  </si>
  <si>
    <t>50/200</t>
  </si>
  <si>
    <t>50/150</t>
  </si>
  <si>
    <t>25/200</t>
  </si>
  <si>
    <t>Trägheitsmoment:  J</t>
  </si>
  <si>
    <r>
      <t>mm</t>
    </r>
    <r>
      <rPr>
        <vertAlign val="superscript"/>
        <sz val="10"/>
        <rFont val="Arial"/>
        <family val="2"/>
      </rPr>
      <t>4</t>
    </r>
  </si>
  <si>
    <t xml:space="preserve">charakteristische Belastung der </t>
  </si>
  <si>
    <t>Seitenprofile in Druckrichtung</t>
  </si>
  <si>
    <t>Balkenhöhe h:</t>
  </si>
  <si>
    <t>mm</t>
  </si>
  <si>
    <t>Balkenbreite b:</t>
  </si>
  <si>
    <t>w max</t>
  </si>
  <si>
    <t>Gewicht:</t>
  </si>
  <si>
    <t>kg</t>
  </si>
  <si>
    <t>[kN/m]</t>
  </si>
  <si>
    <t>Gewicht/m²</t>
  </si>
  <si>
    <t>Statik Rundprofil:</t>
  </si>
  <si>
    <t>S8246</t>
  </si>
  <si>
    <t>S6598</t>
  </si>
  <si>
    <t>S10464</t>
  </si>
  <si>
    <t>Trägheitsmoment:</t>
  </si>
  <si>
    <t>max. Randfaserabstand:</t>
  </si>
  <si>
    <t>Widerstandsmoment:</t>
  </si>
  <si>
    <t>mm³</t>
  </si>
  <si>
    <t>Durchmesser:</t>
  </si>
  <si>
    <t>Gewicht je lfm:</t>
  </si>
  <si>
    <t>kg/m</t>
  </si>
  <si>
    <t xml:space="preserve">ENAW 6063 T66 </t>
  </si>
  <si>
    <r>
      <t>Streckgrenze Rp</t>
    </r>
    <r>
      <rPr>
        <vertAlign val="subscript"/>
        <sz val="10"/>
        <rFont val="Arial"/>
        <family val="2"/>
      </rPr>
      <t xml:space="preserve"> 0,2</t>
    </r>
    <r>
      <rPr>
        <sz val="10"/>
        <rFont val="Arial"/>
        <family val="2"/>
      </rPr>
      <t>: f</t>
    </r>
    <r>
      <rPr>
        <vertAlign val="subscript"/>
        <sz val="10"/>
        <rFont val="Arial"/>
        <family val="2"/>
      </rPr>
      <t>o</t>
    </r>
  </si>
  <si>
    <r>
      <t>E Modul: E</t>
    </r>
    <r>
      <rPr>
        <vertAlign val="subscript"/>
        <sz val="10"/>
        <rFont val="Arial"/>
        <family val="2"/>
      </rPr>
      <t>AL</t>
    </r>
  </si>
  <si>
    <r>
      <t>Teilsicherheit Material:</t>
    </r>
    <r>
      <rPr>
        <sz val="10"/>
        <rFont val="Symbol"/>
        <family val="1"/>
        <charset val="2"/>
      </rPr>
      <t xml:space="preserve"> g</t>
    </r>
    <r>
      <rPr>
        <vertAlign val="subscript"/>
        <sz val="10"/>
        <rFont val="Arial"/>
        <family val="2"/>
      </rPr>
      <t>M</t>
    </r>
  </si>
  <si>
    <r>
      <t xml:space="preserve">Wichte Wasser: </t>
    </r>
    <r>
      <rPr>
        <sz val="10"/>
        <rFont val="Symbol"/>
        <family val="1"/>
        <charset val="2"/>
      </rPr>
      <t>g</t>
    </r>
    <r>
      <rPr>
        <vertAlign val="subscript"/>
        <sz val="10"/>
        <rFont val="Arial"/>
        <family val="2"/>
      </rPr>
      <t>w</t>
    </r>
  </si>
  <si>
    <t>N/mm2</t>
  </si>
  <si>
    <t>N/mm³ (10kN/m³)</t>
  </si>
  <si>
    <t>dyn. Daten:</t>
  </si>
  <si>
    <r>
      <t xml:space="preserve">Anströmwinkel: </t>
    </r>
    <r>
      <rPr>
        <sz val="10"/>
        <rFont val="Symbol"/>
        <family val="1"/>
        <charset val="2"/>
      </rPr>
      <t>d</t>
    </r>
  </si>
  <si>
    <r>
      <t xml:space="preserve">Dichte Wasser inkl. Geschiebe:  </t>
    </r>
    <r>
      <rPr>
        <sz val="10"/>
        <rFont val="Symbol"/>
        <family val="1"/>
        <charset val="2"/>
      </rPr>
      <t>r</t>
    </r>
    <r>
      <rPr>
        <vertAlign val="subscript"/>
        <sz val="10"/>
        <rFont val="Arial"/>
        <family val="2"/>
      </rPr>
      <t xml:space="preserve">w </t>
    </r>
  </si>
  <si>
    <t>°</t>
  </si>
  <si>
    <t>Hydrodynamisch &amp; Hydrostatisch</t>
  </si>
  <si>
    <t>Gewicht je Balken:</t>
  </si>
  <si>
    <r>
      <t>Hydrodynamischer Druck am Balken: p</t>
    </r>
    <r>
      <rPr>
        <vertAlign val="subscript"/>
        <sz val="10"/>
        <rFont val="Arial"/>
        <family val="2"/>
      </rPr>
      <t>Str</t>
    </r>
  </si>
  <si>
    <r>
      <t>Hydrostatischer Druck am Balken: p</t>
    </r>
    <r>
      <rPr>
        <vertAlign val="subscript"/>
        <sz val="10"/>
        <rFont val="Arial"/>
        <family val="2"/>
      </rPr>
      <t>0</t>
    </r>
  </si>
  <si>
    <r>
      <t>Hydrostatischer + Hydrodynamischer Druck am Balken: p</t>
    </r>
    <r>
      <rPr>
        <vertAlign val="subscript"/>
        <sz val="10"/>
        <rFont val="Arial"/>
        <family val="2"/>
      </rPr>
      <t>max</t>
    </r>
  </si>
  <si>
    <t>Durchbiegung HD:  f</t>
  </si>
  <si>
    <t>Durchbiegung HS:  f</t>
  </si>
  <si>
    <t>Durchbiegung HD+HS:  f</t>
  </si>
  <si>
    <t>Stützweite / Durchbiegung HD:  D</t>
  </si>
  <si>
    <t>Stützweite / Durchbiegung HS:  D</t>
  </si>
  <si>
    <r>
      <t xml:space="preserve">Stützweite / Durchbiegung HD+HS:  </t>
    </r>
    <r>
      <rPr>
        <sz val="10"/>
        <rFont val="Symbol"/>
        <family val="1"/>
        <charset val="2"/>
      </rPr>
      <t>D</t>
    </r>
  </si>
  <si>
    <r>
      <t>Moment zufolge HD: M</t>
    </r>
    <r>
      <rPr>
        <vertAlign val="subscript"/>
        <sz val="10"/>
        <rFont val="Arial"/>
        <family val="2"/>
      </rPr>
      <t>k</t>
    </r>
  </si>
  <si>
    <r>
      <t>Moment zufolge HS: M</t>
    </r>
    <r>
      <rPr>
        <vertAlign val="subscript"/>
        <sz val="10"/>
        <rFont val="Arial"/>
        <family val="2"/>
      </rPr>
      <t>k</t>
    </r>
  </si>
  <si>
    <r>
      <t>Moment zufolge HD+HS: M</t>
    </r>
    <r>
      <rPr>
        <vertAlign val="subscript"/>
        <sz val="10"/>
        <rFont val="Arial"/>
        <family val="2"/>
      </rPr>
      <t>k</t>
    </r>
  </si>
  <si>
    <r>
      <t xml:space="preserve">Teilsicherheit Last: </t>
    </r>
    <r>
      <rPr>
        <sz val="10"/>
        <rFont val="Symbol"/>
        <family val="1"/>
        <charset val="2"/>
      </rPr>
      <t>g</t>
    </r>
    <r>
      <rPr>
        <vertAlign val="subscript"/>
        <sz val="10"/>
        <rFont val="Arial"/>
        <family val="2"/>
      </rPr>
      <t>L</t>
    </r>
  </si>
  <si>
    <r>
      <t>Bemessungsmoment HD: M</t>
    </r>
    <r>
      <rPr>
        <vertAlign val="subscript"/>
        <sz val="10"/>
        <rFont val="Arial"/>
        <family val="2"/>
      </rPr>
      <t>sd</t>
    </r>
  </si>
  <si>
    <r>
      <t>Bemessungsmoment HS: M</t>
    </r>
    <r>
      <rPr>
        <vertAlign val="subscript"/>
        <sz val="10"/>
        <rFont val="Arial"/>
        <family val="2"/>
      </rPr>
      <t>sd</t>
    </r>
  </si>
  <si>
    <r>
      <t>Bemessungsmoment HD+HS: M</t>
    </r>
    <r>
      <rPr>
        <vertAlign val="subscript"/>
        <sz val="10"/>
        <rFont val="Arial"/>
        <family val="2"/>
      </rPr>
      <t>sd</t>
    </r>
  </si>
  <si>
    <r>
      <t xml:space="preserve">Spannung HD: </t>
    </r>
    <r>
      <rPr>
        <sz val="10"/>
        <rFont val="Symbol"/>
        <family val="1"/>
        <charset val="2"/>
      </rPr>
      <t>s</t>
    </r>
    <r>
      <rPr>
        <vertAlign val="subscript"/>
        <sz val="10"/>
        <rFont val="Arial"/>
        <family val="2"/>
      </rPr>
      <t>max</t>
    </r>
  </si>
  <si>
    <r>
      <t xml:space="preserve">Spannung HS: </t>
    </r>
    <r>
      <rPr>
        <sz val="10"/>
        <rFont val="Symbol"/>
        <family val="1"/>
        <charset val="2"/>
      </rPr>
      <t>s</t>
    </r>
    <r>
      <rPr>
        <vertAlign val="subscript"/>
        <sz val="10"/>
        <rFont val="Arial"/>
        <family val="2"/>
      </rPr>
      <t>max</t>
    </r>
  </si>
  <si>
    <r>
      <t xml:space="preserve">Spannung HD+HS: </t>
    </r>
    <r>
      <rPr>
        <sz val="10"/>
        <rFont val="Symbol"/>
        <family val="1"/>
        <charset val="2"/>
      </rPr>
      <t>s</t>
    </r>
    <r>
      <rPr>
        <vertAlign val="subscript"/>
        <sz val="10"/>
        <rFont val="Arial"/>
        <family val="2"/>
      </rPr>
      <t>max</t>
    </r>
  </si>
  <si>
    <t>Ersatzfedersteifigkeit: cf</t>
  </si>
  <si>
    <t>Ersatzlast für Treibgutanprall: F</t>
  </si>
  <si>
    <r>
      <t>Moment zufolge Treibgut: M</t>
    </r>
    <r>
      <rPr>
        <vertAlign val="subscript"/>
        <sz val="10"/>
        <rFont val="Arial"/>
        <family val="2"/>
      </rPr>
      <t>T</t>
    </r>
  </si>
  <si>
    <r>
      <t>Bemessungsmoment Treibgut: M</t>
    </r>
    <r>
      <rPr>
        <vertAlign val="subscript"/>
        <sz val="10"/>
        <rFont val="Arial"/>
        <family val="2"/>
      </rPr>
      <t>sdT</t>
    </r>
  </si>
  <si>
    <r>
      <t xml:space="preserve">Spannung  infolge Treibgut: </t>
    </r>
    <r>
      <rPr>
        <sz val="10"/>
        <rFont val="Symbol"/>
        <family val="1"/>
        <charset val="2"/>
      </rPr>
      <t>s</t>
    </r>
    <r>
      <rPr>
        <vertAlign val="subscript"/>
        <sz val="10"/>
        <rFont val="Arial"/>
        <family val="2"/>
      </rPr>
      <t>T</t>
    </r>
  </si>
  <si>
    <r>
      <t>Spannung  zufolge p</t>
    </r>
    <r>
      <rPr>
        <vertAlign val="subscript"/>
        <sz val="10"/>
        <rFont val="Arial"/>
        <family val="2"/>
      </rPr>
      <t>Str</t>
    </r>
    <r>
      <rPr>
        <sz val="10"/>
        <rFont val="Arial"/>
        <family val="2"/>
      </rPr>
      <t>, p</t>
    </r>
    <r>
      <rPr>
        <vertAlign val="subscript"/>
        <sz val="10"/>
        <rFont val="Arial"/>
        <family val="2"/>
      </rPr>
      <t>0</t>
    </r>
    <r>
      <rPr>
        <sz val="10"/>
        <rFont val="Arial"/>
        <family val="2"/>
      </rPr>
      <t>, F: S</t>
    </r>
    <r>
      <rPr>
        <vertAlign val="subscript"/>
        <sz val="10"/>
        <rFont val="Arial"/>
        <family val="2"/>
      </rPr>
      <t>k</t>
    </r>
  </si>
  <si>
    <r>
      <t>Ausnutzung  zufolge p</t>
    </r>
    <r>
      <rPr>
        <vertAlign val="subscript"/>
        <sz val="10"/>
        <rFont val="Arial"/>
        <family val="2"/>
      </rPr>
      <t>Str</t>
    </r>
    <r>
      <rPr>
        <sz val="10"/>
        <rFont val="Arial"/>
        <family val="2"/>
      </rPr>
      <t>, p</t>
    </r>
    <r>
      <rPr>
        <vertAlign val="subscript"/>
        <sz val="10"/>
        <rFont val="Arial"/>
        <family val="2"/>
      </rPr>
      <t>0</t>
    </r>
    <r>
      <rPr>
        <sz val="10"/>
        <rFont val="Arial"/>
        <family val="2"/>
      </rPr>
      <t>, F:</t>
    </r>
  </si>
  <si>
    <t>Dammbalken Daten</t>
  </si>
  <si>
    <t>kg/m²</t>
  </si>
  <si>
    <r>
      <t>mm</t>
    </r>
    <r>
      <rPr>
        <vertAlign val="superscript"/>
        <sz val="10"/>
        <rFont val="Arial"/>
        <family val="2"/>
      </rPr>
      <t>3</t>
    </r>
  </si>
  <si>
    <t>Steher Daten</t>
  </si>
  <si>
    <t>Durchmesser D:</t>
  </si>
  <si>
    <t>Länge Rundprofil lR:</t>
  </si>
  <si>
    <t>Widerstandsmoment;</t>
  </si>
  <si>
    <t>mm4</t>
  </si>
  <si>
    <t>mm3</t>
  </si>
  <si>
    <r>
      <t>Hydrodynamischer Druck am steher: p</t>
    </r>
    <r>
      <rPr>
        <vertAlign val="subscript"/>
        <sz val="10"/>
        <rFont val="Arial"/>
        <family val="2"/>
      </rPr>
      <t>Str</t>
    </r>
  </si>
  <si>
    <r>
      <t>Hydrostatischer Druck am Steher: p</t>
    </r>
    <r>
      <rPr>
        <vertAlign val="subscript"/>
        <sz val="10"/>
        <rFont val="Arial"/>
        <family val="2"/>
      </rPr>
      <t>0</t>
    </r>
  </si>
  <si>
    <t>Durchbiegung:  f</t>
  </si>
  <si>
    <r>
      <t xml:space="preserve">Stützweite / Durchbiegung:  </t>
    </r>
    <r>
      <rPr>
        <sz val="10"/>
        <rFont val="Symbol"/>
        <family val="1"/>
        <charset val="2"/>
      </rPr>
      <t>D</t>
    </r>
  </si>
  <si>
    <r>
      <t>Moment zufolge Gesamtdruck: M</t>
    </r>
    <r>
      <rPr>
        <vertAlign val="subscript"/>
        <sz val="10"/>
        <rFont val="Arial"/>
        <family val="2"/>
      </rPr>
      <t>k</t>
    </r>
  </si>
  <si>
    <r>
      <t>Bemessungsmoment: M</t>
    </r>
    <r>
      <rPr>
        <vertAlign val="subscript"/>
        <sz val="10"/>
        <rFont val="Arial"/>
        <family val="2"/>
      </rPr>
      <t>sd</t>
    </r>
  </si>
  <si>
    <r>
      <t xml:space="preserve">Spannung: </t>
    </r>
    <r>
      <rPr>
        <sz val="10"/>
        <rFont val="Symbol"/>
        <family val="1"/>
        <charset val="2"/>
      </rPr>
      <t>s</t>
    </r>
    <r>
      <rPr>
        <vertAlign val="subscript"/>
        <sz val="10"/>
        <rFont val="Arial"/>
        <family val="2"/>
      </rPr>
      <t>max</t>
    </r>
  </si>
  <si>
    <t xml:space="preserve">Ausnutzung: </t>
  </si>
  <si>
    <t>*</t>
  </si>
  <si>
    <t>=</t>
  </si>
  <si>
    <t>/</t>
  </si>
  <si>
    <t>System</t>
  </si>
  <si>
    <t>(Objekt od. Landsch.)</t>
  </si>
  <si>
    <t>Rundprofil normal/gr</t>
  </si>
  <si>
    <t>MontageartLinks1</t>
  </si>
  <si>
    <t xml:space="preserve">        1</t>
  </si>
  <si>
    <t>Service</t>
  </si>
  <si>
    <t>Besch</t>
  </si>
  <si>
    <t>Beschichtungspauschale</t>
  </si>
  <si>
    <t>Systempreisliste PREFA HOCHWASSERSCHUTZ</t>
  </si>
  <si>
    <t xml:space="preserve">Art.nr. </t>
  </si>
  <si>
    <t>Dammbalken 25/200 (S12272) exkl. Dichtung:</t>
  </si>
  <si>
    <t>gesägt und entgratet</t>
  </si>
  <si>
    <t>H251000</t>
  </si>
  <si>
    <t>Stangenware 6500 mm</t>
  </si>
  <si>
    <t>H251010</t>
  </si>
  <si>
    <t>Dammbalken 50/150 (S7308) exkl. Dichtung:</t>
  </si>
  <si>
    <t>H501000</t>
  </si>
  <si>
    <t>H501010</t>
  </si>
  <si>
    <t>Dammbalken 50/200 (S9368) exkl. Dichtung:</t>
  </si>
  <si>
    <t>H501001</t>
  </si>
  <si>
    <t>H501011</t>
  </si>
  <si>
    <t>Dammbalken 80/200 (S9369) exkl. Dichtung:</t>
  </si>
  <si>
    <t>H801001</t>
  </si>
  <si>
    <t>H801011</t>
  </si>
  <si>
    <t>U-Profil 25 exkl. Dichtung (S12273): in der LAIBUNG</t>
  </si>
  <si>
    <t>, gebohrt, entgratet</t>
  </si>
  <si>
    <t>H251020</t>
  </si>
  <si>
    <t>H251021</t>
  </si>
  <si>
    <t>, gebohrt, entgratet Sonderlänge</t>
  </si>
  <si>
    <t>H251011</t>
  </si>
  <si>
    <t>U-Profil 50 exkl. Dichtung (S7229):</t>
  </si>
  <si>
    <t>H501101</t>
  </si>
  <si>
    <t>H501111</t>
  </si>
  <si>
    <t>H501112</t>
  </si>
  <si>
    <t>H501122</t>
  </si>
  <si>
    <t>H501191</t>
  </si>
  <si>
    <t>U-Profil 80 exkl. Dichtung (S8063):</t>
  </si>
  <si>
    <t>H801101</t>
  </si>
  <si>
    <t>H801111</t>
  </si>
  <si>
    <t>H801112</t>
  </si>
  <si>
    <t>H801122</t>
  </si>
  <si>
    <t>H801191</t>
  </si>
  <si>
    <t>Grundprofil 50 exkl. Dichtung (S6577): = H-Profil / v.d. L.</t>
  </si>
  <si>
    <t>H501201</t>
  </si>
  <si>
    <t>H501211</t>
  </si>
  <si>
    <t>H501212</t>
  </si>
  <si>
    <t>H501222</t>
  </si>
  <si>
    <t>H501291</t>
  </si>
  <si>
    <t>Grundprofil 80 exkl. Dichtung (S8253):  H-Profil / v.d. L.</t>
  </si>
  <si>
    <t>H801201</t>
  </si>
  <si>
    <t>H801211</t>
  </si>
  <si>
    <t>H801212</t>
  </si>
  <si>
    <t>H801222</t>
  </si>
  <si>
    <t>H801291</t>
  </si>
  <si>
    <t>Rundprofil 50 exkl. Dichtung (S6598):</t>
  </si>
  <si>
    <t>H501301</t>
  </si>
  <si>
    <t>H501311</t>
  </si>
  <si>
    <t>H501312</t>
  </si>
  <si>
    <t>H501322</t>
  </si>
  <si>
    <t>Rundprofil 80 exkl. Dichtung (S8246):</t>
  </si>
  <si>
    <t>H801301</t>
  </si>
  <si>
    <t>H801311</t>
  </si>
  <si>
    <t>H801312</t>
  </si>
  <si>
    <t>H801322</t>
  </si>
  <si>
    <t>Rundprofil 80 gr.  exkl. Dichtung (S10464):</t>
  </si>
  <si>
    <t>H801340</t>
  </si>
  <si>
    <t>H801341</t>
  </si>
  <si>
    <t>H801342</t>
  </si>
  <si>
    <t>H801343</t>
  </si>
  <si>
    <t xml:space="preserve">Rundprofil 50-90° exkl. Dichtung (S9299): </t>
  </si>
  <si>
    <t>H501600</t>
  </si>
  <si>
    <t>H501601</t>
  </si>
  <si>
    <t>H501602</t>
  </si>
  <si>
    <t>H501603</t>
  </si>
  <si>
    <t xml:space="preserve">Rundprofil 80-90° exkl. Dichtung (S10465): </t>
  </si>
  <si>
    <t>H801600</t>
  </si>
  <si>
    <t>H801601</t>
  </si>
  <si>
    <t>H801602</t>
  </si>
  <si>
    <t>H801603</t>
  </si>
  <si>
    <t xml:space="preserve">Rundprofil 50-Vario exkl. Dichtung (S9523+S9525 od. S9524 od. S9549): </t>
  </si>
  <si>
    <t>H501610</t>
  </si>
  <si>
    <t>H501611</t>
  </si>
  <si>
    <t>H501612</t>
  </si>
  <si>
    <t>H501613</t>
  </si>
  <si>
    <t xml:space="preserve">Rundprofil 80-Vario exkl. Dichtung (S10466+S10462 od. S10463): </t>
  </si>
  <si>
    <t>H801610</t>
  </si>
  <si>
    <t>H801611</t>
  </si>
  <si>
    <t>H801612</t>
  </si>
  <si>
    <t>H801613</t>
  </si>
  <si>
    <t>Bodenhülse 50 beschichtet: (für System 50+80)</t>
  </si>
  <si>
    <t>inkl. Deckel mit Dichtung (S6516)</t>
  </si>
  <si>
    <t>H001030</t>
  </si>
  <si>
    <t>inkl. Deckel mit Dichtung NEUES SYSTEM (ehem. Bajonett)</t>
  </si>
  <si>
    <t>H001040</t>
  </si>
  <si>
    <t>Bodenhülse 80, Vario beschichtet:</t>
  </si>
  <si>
    <t>inkl. Deckel mit Dichtung</t>
  </si>
  <si>
    <t>H001031</t>
  </si>
  <si>
    <t>H001041</t>
  </si>
  <si>
    <r>
      <t xml:space="preserve">Niederhalter </t>
    </r>
    <r>
      <rPr>
        <b/>
        <sz val="14"/>
        <color indexed="12"/>
        <rFont val="Arial"/>
        <family val="2"/>
      </rPr>
      <t>+ Spannstück + Verbundanker + Gewindestange</t>
    </r>
  </si>
  <si>
    <t>, gesägt, entgratet</t>
  </si>
  <si>
    <t>H501031</t>
  </si>
  <si>
    <t>H501041</t>
  </si>
  <si>
    <t>H501042</t>
  </si>
  <si>
    <t>Setzwerkzeug Hilti: Einsatz, Einsteckschaft, Setzwerkzeug</t>
  </si>
  <si>
    <t>Spannstücke</t>
  </si>
  <si>
    <t>H001061</t>
  </si>
  <si>
    <t>H001071</t>
  </si>
  <si>
    <t>Dichtungen</t>
  </si>
  <si>
    <t>Bodendichtung 25:</t>
  </si>
  <si>
    <t>H251900</t>
  </si>
  <si>
    <t>Bodendichtung 50:</t>
  </si>
  <si>
    <t>H501901</t>
  </si>
  <si>
    <t>Bodendichtung 80:</t>
  </si>
  <si>
    <t>H801901</t>
  </si>
  <si>
    <t>Dichtung Dammbalken (P5208037)</t>
  </si>
  <si>
    <t>[1 VE =25 lfm]</t>
  </si>
  <si>
    <t>H001080</t>
  </si>
  <si>
    <t>Dichtung Dammbalken ( 25 )</t>
  </si>
  <si>
    <t>H251901</t>
  </si>
  <si>
    <t>Dichtung Grundprofil</t>
  </si>
  <si>
    <t>[1 VE =10 lfm]</t>
  </si>
  <si>
    <t>H001090</t>
  </si>
  <si>
    <t>Dauer Bodendichtung 50:</t>
  </si>
  <si>
    <t>H001081</t>
  </si>
  <si>
    <t>Dauer Bodendichtung 80:</t>
  </si>
  <si>
    <t>H001082</t>
  </si>
  <si>
    <t>Abdeckung VO 25 (S12418 gebogen):</t>
  </si>
  <si>
    <t>H251050</t>
  </si>
  <si>
    <t>H251051</t>
  </si>
  <si>
    <t>Abdeckung VO 50 (S6599 gebogen):</t>
  </si>
  <si>
    <t>H501401</t>
  </si>
  <si>
    <t>H501411</t>
  </si>
  <si>
    <t>H501412</t>
  </si>
  <si>
    <t>H501422</t>
  </si>
  <si>
    <t>Abdeckung V 25 (S12418):</t>
  </si>
  <si>
    <t>H251040</t>
  </si>
  <si>
    <t>H251041</t>
  </si>
  <si>
    <t>H251012</t>
  </si>
  <si>
    <t>Abdeckung V 50 (S6599):</t>
  </si>
  <si>
    <t>H501501</t>
  </si>
  <si>
    <t>H501511</t>
  </si>
  <si>
    <t>H501512</t>
  </si>
  <si>
    <t>H501522</t>
  </si>
  <si>
    <t>H501591</t>
  </si>
  <si>
    <t>Abdeckung VO 80 (S8064 gebogen) :</t>
  </si>
  <si>
    <t>H801401</t>
  </si>
  <si>
    <t>H801411</t>
  </si>
  <si>
    <t>H801412</t>
  </si>
  <si>
    <t>H801422</t>
  </si>
  <si>
    <t>Abdeckung V 80 (S8064):</t>
  </si>
  <si>
    <t>H801501</t>
  </si>
  <si>
    <t>H801511</t>
  </si>
  <si>
    <t>H801512</t>
  </si>
  <si>
    <t>H801522</t>
  </si>
  <si>
    <t>H801590</t>
  </si>
  <si>
    <t>Aufpreis für Sicherungsschraube:</t>
  </si>
  <si>
    <t>[1 Stk.]</t>
  </si>
  <si>
    <t>H001010</t>
  </si>
  <si>
    <t>Dammbalken Halterung/Lagerabdeckung:</t>
  </si>
  <si>
    <t>Halterung für 6 Dammbalken</t>
  </si>
  <si>
    <t>[ 2 Stk]</t>
  </si>
  <si>
    <t>H001020</t>
  </si>
  <si>
    <t>Ersatzteile</t>
  </si>
  <si>
    <t>H001091</t>
  </si>
  <si>
    <t>Dichtung für Deckel und Bodenhülse groß DM 230 mm</t>
  </si>
  <si>
    <t>H001092</t>
  </si>
  <si>
    <t>H001101</t>
  </si>
  <si>
    <t>Aufpreise:</t>
  </si>
  <si>
    <t>PA</t>
  </si>
  <si>
    <t>Verankerung aufgeschweißt (a 300mm)</t>
  </si>
  <si>
    <t>Montagehilfe für Bodenhülse</t>
  </si>
  <si>
    <t>Planungsstunde</t>
  </si>
  <si>
    <t>Kalk 1</t>
  </si>
  <si>
    <t>Zeilenbeschriftungen</t>
  </si>
  <si>
    <t>(Leer)</t>
  </si>
  <si>
    <t>Summe von Stk</t>
  </si>
  <si>
    <t>Element dociskowy z uchwytem gwiazdkowym:</t>
  </si>
  <si>
    <t>Spændestykke med stjerneformet greb:</t>
  </si>
  <si>
    <t>Spændestykke med 6-kantskrue:</t>
  </si>
  <si>
    <t>Spannstückmit Sterngriff</t>
  </si>
  <si>
    <t>Spannstückmit Sechskantschraube</t>
  </si>
  <si>
    <t>25U</t>
  </si>
  <si>
    <t>50U</t>
  </si>
  <si>
    <t>80U</t>
  </si>
  <si>
    <t>50G</t>
  </si>
  <si>
    <t>80G</t>
  </si>
  <si>
    <t>VO25</t>
  </si>
  <si>
    <t>VO50</t>
  </si>
  <si>
    <t>VO80</t>
  </si>
  <si>
    <t>V25</t>
  </si>
  <si>
    <t>V50</t>
  </si>
  <si>
    <t>V80</t>
  </si>
  <si>
    <t>LA</t>
  </si>
  <si>
    <t>HWS-Stückliste-Kalk-1</t>
  </si>
  <si>
    <t>1 b</t>
  </si>
  <si>
    <t>Dammbalkenhaken</t>
  </si>
  <si>
    <t>STATIK DAMMBALKEN</t>
  </si>
  <si>
    <t>STATIK RUNDSTEHER</t>
  </si>
  <si>
    <t>STATICS BARRIER PANELS</t>
  </si>
  <si>
    <t>STATICS ROUND COLUMN</t>
  </si>
  <si>
    <t>GÁTGERENDA STATIKAI</t>
  </si>
  <si>
    <t>OSZLOP STATIKAI</t>
  </si>
  <si>
    <t>STATICA DAMBALK</t>
  </si>
  <si>
    <t>STATICA RONDE PIJLER</t>
  </si>
  <si>
    <t>STATIKA ZAJEZITVENI PREČNIK</t>
  </si>
  <si>
    <t>STATIKA OKROGLI NOSILEC</t>
  </si>
  <si>
    <t>STATIK BJÄLKSÄTT</t>
  </si>
  <si>
    <t>STATIK RUNDPÅLE</t>
  </si>
  <si>
    <t>STATIK DÆMPNINGSBJÆLKER</t>
  </si>
  <si>
    <t>STATIK RUNDPÆLE</t>
  </si>
  <si>
    <t>STATIKK BJELKESTENGSEL</t>
  </si>
  <si>
    <t>STATIKK RUNDBUKK</t>
  </si>
  <si>
    <t>STATIKA BRANE DASKE</t>
  </si>
  <si>
    <t>STATIKA OKRUGLOG STUPA</t>
  </si>
  <si>
    <t>Kundennummer:</t>
  </si>
  <si>
    <t>Dammbalkenlänge:</t>
  </si>
  <si>
    <t>Berechnungsparameter aus Profilgeometrien:</t>
  </si>
  <si>
    <t>Dammbalkenlänge über Lichte:</t>
  </si>
  <si>
    <t>Mögliche Eintauchtiefe von Dammb. in Steher beidseitig:</t>
  </si>
  <si>
    <t>[m.j.]</t>
  </si>
  <si>
    <t>[L] světlá šířka</t>
  </si>
  <si>
    <t>[bm]</t>
  </si>
  <si>
    <t>[ks]</t>
  </si>
  <si>
    <t xml:space="preserve">Kryt </t>
  </si>
  <si>
    <t>Kryt V 25, svrtaný pro zafixování</t>
  </si>
  <si>
    <t>Kryt V 50, svrtaný pro zafixování</t>
  </si>
  <si>
    <t>Kryt V 80, svrtaný pro zafixování</t>
  </si>
  <si>
    <t>Kryt VO 25, svrtaný pro zafixování</t>
  </si>
  <si>
    <t>Kryt VO 50, svrtaný pro zafixování</t>
  </si>
  <si>
    <t>Kryt VO 80, svrtaný pro zafixování</t>
  </si>
  <si>
    <t>Pozor! Maximální délka pro lakování 3000mm</t>
  </si>
  <si>
    <t>POZOR: vybráno příliš mnoho kruhových profilů</t>
  </si>
  <si>
    <t>Přítokový úhel [°]:</t>
  </si>
  <si>
    <t>Aplikační technika</t>
  </si>
  <si>
    <t>Počet polí:</t>
  </si>
  <si>
    <t>Počet stejných systémů:</t>
  </si>
  <si>
    <t>Art.Nr.</t>
  </si>
  <si>
    <t>Příplatek za odfrézování bočních dílů pro hrázní bloky</t>
  </si>
  <si>
    <t xml:space="preserve">Příplatek za nestandardní délky bočních dílů </t>
  </si>
  <si>
    <t>Příplatek za hodinu projekční práce</t>
  </si>
  <si>
    <t>Příplatek za přivařené kotevní trny (á 300mm)</t>
  </si>
  <si>
    <t>Odfrézování bočních dílů pro hrázní bloky</t>
  </si>
  <si>
    <t>Typ provedení</t>
  </si>
  <si>
    <t>U systému 25 možné pouze 1 pole!</t>
  </si>
  <si>
    <t>lakovaný</t>
  </si>
  <si>
    <t>Lakování</t>
  </si>
  <si>
    <t>Objednávka</t>
  </si>
  <si>
    <t>Označení</t>
  </si>
  <si>
    <t>Prosím vybrat</t>
  </si>
  <si>
    <t>přírodní</t>
  </si>
  <si>
    <t>Spodní těsnění 25</t>
  </si>
  <si>
    <t>Spodní těsnění 50</t>
  </si>
  <si>
    <t>Spodní těsnění 80</t>
  </si>
  <si>
    <t>Zemní pouzdro</t>
  </si>
  <si>
    <t>Zemní pouzdro 50/80, lakovaný hliník vč. víka s těsněním</t>
  </si>
  <si>
    <t>Zemní pouzdro 50/80, lakovaný nerez vč. víka s těsněním</t>
  </si>
  <si>
    <t>Zemní pouzdro 50/80 Vario, lakovaný hliník vč. víka s těsněním</t>
  </si>
  <si>
    <t>Zemní pouzdro 50/80 Vario, lakovaný nerez vč. víka s těsněním</t>
  </si>
  <si>
    <t>Víko zemního pouzdra</t>
  </si>
  <si>
    <t>Zapuštěný v ostění</t>
  </si>
  <si>
    <t>Hrázní blok</t>
  </si>
  <si>
    <t>Hrázní blok 25/200, bez těsnění, řezaný na délku, bez otřepů</t>
  </si>
  <si>
    <t>Hrázní blok 50/150, bez těsnění, řezaný na délku, bez otřepů</t>
  </si>
  <si>
    <t>Hrázní blok 50/200, bez těsnění, řezaný na délku, bez otřepů</t>
  </si>
  <si>
    <t>Hrázní blok 80/200, bez těsnění, řezaný na délku, bez otřepů</t>
  </si>
  <si>
    <t>Těsnění hrázního bloku (25)</t>
  </si>
  <si>
    <t>Těsnění hrázního bloku (50+80)_CZ</t>
  </si>
  <si>
    <t>Zadání údajů</t>
  </si>
  <si>
    <t>Trvalé spodní těsnění 50</t>
  </si>
  <si>
    <t>Trvalé spodní těsnění 80</t>
  </si>
  <si>
    <t>Trvalé spodní těsnění:</t>
  </si>
  <si>
    <t>Definice vnitřní světlosti pole:</t>
  </si>
  <si>
    <t>Těsnění pro víko a zemní pouzdro velké Ø 230mm</t>
  </si>
  <si>
    <t>Těsnění pro víko a zemní pouzdro malé Ø 170mm</t>
  </si>
  <si>
    <t>Průhyb</t>
  </si>
  <si>
    <t>Nerez</t>
  </si>
  <si>
    <t>Jednotka</t>
  </si>
  <si>
    <t>Celková suma</t>
  </si>
  <si>
    <t>Barva:</t>
  </si>
  <si>
    <t>Firma / Objednatel:</t>
  </si>
  <si>
    <t>Celková délka</t>
  </si>
  <si>
    <t>Světlá délka [mm]:</t>
  </si>
  <si>
    <t>Základní profil 50 (h-Profil před ostění), bez těsnění, vrtaný, bez otřepů</t>
  </si>
  <si>
    <t>Základní profil 50 (h-Profil před ostění), zvláštní délka, bez těsnění, vrtaný, bez otřepů</t>
  </si>
  <si>
    <t>Základní profil 50 (h-Profil před ostění), tyčové zboží, bez těsnění, vrtaný, bez otřepů</t>
  </si>
  <si>
    <t>Základní profil 80 (h-Profil před ostění), bez těsnění, vrtaný, bez otřepů</t>
  </si>
  <si>
    <t>Základní profil 80 (h-Profil před ostění), zvláštní délka, bez těsnění, vrtaný, bez otřepů</t>
  </si>
  <si>
    <t>Základní profil 80 (h-Profil před ostění), tyčové zboží, bez těsnění, vrtaný, bez otřepů</t>
  </si>
  <si>
    <t>Těsnění do základního profilu</t>
  </si>
  <si>
    <t>Konzole pro hrázní bloky</t>
  </si>
  <si>
    <t>Zvedací pomůcka</t>
  </si>
  <si>
    <t>V ostění</t>
  </si>
  <si>
    <t>KALKULACE</t>
  </si>
  <si>
    <t>žádný</t>
  </si>
  <si>
    <t>kg/ks</t>
  </si>
  <si>
    <t>Zakázka</t>
  </si>
  <si>
    <t>Skladovací kryt</t>
  </si>
  <si>
    <t>Ochrana území</t>
  </si>
  <si>
    <t>Délka</t>
  </si>
  <si>
    <t>Úprava délky bočního dílu</t>
  </si>
  <si>
    <t>Dodací adresa</t>
  </si>
  <si>
    <t>nalevo</t>
  </si>
  <si>
    <t>Výpočet množství/Poptávka</t>
  </si>
  <si>
    <t>s plovoucími předměty</t>
  </si>
  <si>
    <t>Způsob montáže</t>
  </si>
  <si>
    <t>Montážní pomůcka pro zemní pouzdro</t>
  </si>
  <si>
    <t>Násobitel</t>
  </si>
  <si>
    <t>Jméno:</t>
  </si>
  <si>
    <t>Podpěrné táhlo hrázních bloků: max. 1750mm</t>
  </si>
  <si>
    <t>Podpěrné táhlo vč. napínáku, svorníkové kotvy a závitové tyče</t>
  </si>
  <si>
    <t>Ochrana objektu</t>
  </si>
  <si>
    <t>Místo:</t>
  </si>
  <si>
    <t>Navržené hrázní bloky</t>
  </si>
  <si>
    <t>PREFA PROTIPOVODŇOVÝ SYSTÉM</t>
  </si>
  <si>
    <t>cena bez DPH</t>
  </si>
  <si>
    <t>cena za bm nebo ks</t>
  </si>
  <si>
    <t>příliš velká výška</t>
  </si>
  <si>
    <t>nutná výška pro napínák</t>
  </si>
  <si>
    <t>RAL nebo PREFA barva</t>
  </si>
  <si>
    <t>napravo</t>
  </si>
  <si>
    <t>Kruhový profil</t>
  </si>
  <si>
    <t>Kruhový profil 50, bez těsnění, vrtaný, bez otřepů</t>
  </si>
  <si>
    <t>Kruhový profil 50, zvláštní délka, bez těsnění,vrtaný, bez otřepů</t>
  </si>
  <si>
    <t>Kruhový profil 50-90°, bez těsnění,vrtaný, bez otřepů</t>
  </si>
  <si>
    <t>Kruhový profil 50-90°, zvláštní délka, bez těsnění, vrtaný, bez otřepů</t>
  </si>
  <si>
    <t>Kruhový profil 50-Vario, bez těsnění, vrtaný, bez otřepů</t>
  </si>
  <si>
    <t>Kruhový profil 50-Vario, zvláštní délka, bez těsnění,vrtaný, bez otřepů</t>
  </si>
  <si>
    <t>Kruhový profil 80, bez těsnění, vrtaný, bez otřepů</t>
  </si>
  <si>
    <t>Kruhový profil 80 velký, bez těsnění, vrtaný, bez otřepů</t>
  </si>
  <si>
    <t>Kruhový profil 80 velký, zvláštní délka, bez těsnění, vrtaný, bez otřepů</t>
  </si>
  <si>
    <t>Kruhový profil 80, zvláštní délka, bez těsnění,vrtaný, bez otřepů</t>
  </si>
  <si>
    <t>Kruhový profil 80-90°, bez těsnění,vrtaný, bez otřepů</t>
  </si>
  <si>
    <t>Kruhový profil 80-90°, zvláštní délka, bez těsnění, vrtaný, bez otřepů</t>
  </si>
  <si>
    <t>Kruhový profil 80-Vario, bez těsnění, vrtaný, bez otřepů</t>
  </si>
  <si>
    <t>Kruhový profil 80-Vario, zvláštní délka, bez těsnění,vrtaný, bez otřepů</t>
  </si>
  <si>
    <t>Kruhový profil 90°</t>
  </si>
  <si>
    <t>Kruhový profil velký</t>
  </si>
  <si>
    <t>Kruhový profil Vario</t>
  </si>
  <si>
    <t>Osazovací nástroj pro chemické patrony</t>
  </si>
  <si>
    <t>fixační šroub pro kryt</t>
  </si>
  <si>
    <t>zvláštní náklady</t>
  </si>
  <si>
    <t>zvláštní rabat</t>
  </si>
  <si>
    <t>Napínák s šestihranným šroubem:</t>
  </si>
  <si>
    <t>Napínák s hvězdicovým kolečkem:</t>
  </si>
  <si>
    <t>Jazyk</t>
  </si>
  <si>
    <t>Stav</t>
  </si>
  <si>
    <t>Statické využití hrázních bloků v %</t>
  </si>
  <si>
    <t>Statické využití sloupků v %</t>
  </si>
  <si>
    <t>Statický výpočet</t>
  </si>
  <si>
    <t>hod.</t>
  </si>
  <si>
    <t>Sloupek Nr.</t>
  </si>
  <si>
    <t>ks</t>
  </si>
  <si>
    <t>ulice:</t>
  </si>
  <si>
    <t>kusy</t>
  </si>
  <si>
    <t>Suma</t>
  </si>
  <si>
    <t>Únosnost</t>
  </si>
  <si>
    <t>U-Profil 25, bez těsnění, před ostění, zvláštní délka, vrtaný, bez otřepů</t>
  </si>
  <si>
    <t>U-Profil 25, bez těsnění, před ostění, vrtaný, bez otřepů</t>
  </si>
  <si>
    <t>U-Profil 25, bez těsnění, vrtaný, bez otřepů</t>
  </si>
  <si>
    <t>U-Profil 25, bez těsnění, zvláštní délka, vrtaný, bez otřepů</t>
  </si>
  <si>
    <t>U-Profil 50, bez těsnění, vrtaný, bez otřepů</t>
  </si>
  <si>
    <t>U-Profil 50, bez těsnění, zvláštní délka, vrtaný, bez otřepů</t>
  </si>
  <si>
    <t>U-Profil 80, bez těsnění, vrtaný, bez otřepů</t>
  </si>
  <si>
    <t>U-Profil 80 bez těsnění, zvláštní délka, vrtaný, bez otřepů</t>
  </si>
  <si>
    <t>Přivařené kotevní trny 300mm</t>
  </si>
  <si>
    <t>plné zaplavení</t>
  </si>
  <si>
    <t>před ostěním</t>
  </si>
  <si>
    <t>Příslušenství</t>
  </si>
  <si>
    <t>Mezisoučet</t>
  </si>
  <si>
    <t>PREFA HWS ZADÁVACÍ FORMULÁŘ</t>
  </si>
  <si>
    <t>Prohlášení o souhlasu</t>
  </si>
  <si>
    <t>PREFA nabízí uživateli bezplatný výpočtový nástroj pro PREFA protipovodňové systémy (HWS).</t>
  </si>
  <si>
    <t>Výpočet zohledňuje požadavky na návrh dle návodu Merkblatt BWK/6, vydání prosinec 2005:</t>
  </si>
  <si>
    <t>Uživatelem zadané údaje jsou výpočtem automaticky zpracovány. Výpočtový nástroj nemá možnost kontroly správnosti zadaných dat.</t>
  </si>
  <si>
    <t>Výsledky výpočtu lze použít pouze na protipovodňový systém dle zadaných údajů.</t>
  </si>
  <si>
    <t>Výpočtový nástroj se vztahuje výlučně na PREFA protipovodňové systémy.</t>
  </si>
  <si>
    <t>Výsledky výpočtu nelze použít pro jiné produkty nebo aplikace.</t>
  </si>
  <si>
    <t xml:space="preserve">Výpočtový nástroj od PREFA byl vytvořen s nejvyšší pečlivostí. </t>
  </si>
  <si>
    <t>Přesto však mohou být výsledky s ohledem na individuální konstrukční zvláštnost každého</t>
  </si>
  <si>
    <t>protipovodňového systému a možného chybného zadání považovány pouze za nezávazná doporučení.</t>
  </si>
  <si>
    <t>PREFA považuje výpočtový nástroj jako podporu pro odborné realizátory, která je však nezbavuje povinnosti vlastního přezkoušení návrhu pro každý jednotlivý případ.</t>
  </si>
  <si>
    <t>PREFA s ohledem na to nepřebírá žádnou záruku za správnost nebo úplnost výpočtových výsledků nebo za z toho odvozené nároky na náhradu škod.</t>
  </si>
  <si>
    <t>Při neodborné montáži a/nebo údržbě nebo při použití neoriginálního příslušenství nepřebírá PREFA žádnou záruku.</t>
  </si>
  <si>
    <t>Rovněž tak vylučující záruku ze strany PREFA jsou stavební závady, především nedostatečně těsné stavební součásti stavebního objektu, hydrostatické působení a neodborná manipulace s komponenty,</t>
  </si>
  <si>
    <t>jakož i poškození mechanickým působením osob nebo předmětů.</t>
  </si>
  <si>
    <t>PREFA nepřejímá záruku za absolutní zamezení škod</t>
  </si>
  <si>
    <t>Ve výpočtu jsou posuzeny tyto možnosti:</t>
  </si>
  <si>
    <t>hydrostatické působení</t>
  </si>
  <si>
    <t>hydrodynamické působení</t>
  </si>
  <si>
    <t>náraz plovoucího předmětu (pouze při zadání přítokového úhlu)</t>
  </si>
  <si>
    <t>Předpoklady statického výpočtu (dle potřeby lze změnit):</t>
  </si>
  <si>
    <t>hustota vody vč. příměsí:  rw</t>
  </si>
  <si>
    <t>specifická hmotnost vody: gw</t>
  </si>
  <si>
    <t>rychlost toku:</t>
  </si>
  <si>
    <t>náraz plovoucího předmětu váhy: m</t>
  </si>
  <si>
    <t>BHW = návrhová výška vzdutí</t>
  </si>
  <si>
    <t>Obr. 1</t>
  </si>
  <si>
    <t>[bal.]</t>
  </si>
  <si>
    <t>Výška vzdutí (BHW) [mm]:</t>
  </si>
  <si>
    <t>VS = plné zaplavení</t>
  </si>
  <si>
    <t>FB = volný bok</t>
  </si>
  <si>
    <t>náraz plovoucího předmětu váhy:</t>
  </si>
  <si>
    <t>Přítokový úhel:</t>
  </si>
  <si>
    <t>Využití HD:</t>
  </si>
  <si>
    <t>Využití HD+HS:</t>
  </si>
  <si>
    <t>Využití HS:</t>
  </si>
  <si>
    <t>Využití od</t>
  </si>
  <si>
    <t>Využití:</t>
  </si>
  <si>
    <t>Výpočtový moment HD:</t>
  </si>
  <si>
    <t>Výpočtový moment HD+HS:</t>
  </si>
  <si>
    <t>Výpočtový moment HS:</t>
  </si>
  <si>
    <t>Výpočtový moment plovoucí předmět:</t>
  </si>
  <si>
    <t>Výpočtový moment:</t>
  </si>
  <si>
    <t>hustota vody vč. příměsí</t>
  </si>
  <si>
    <t>Uvedené ceny platí do nového ceníku s výhradou dřívějších cenových úprav</t>
  </si>
  <si>
    <t>Průhyb HD:</t>
  </si>
  <si>
    <t>Průhyb HD+HS:</t>
  </si>
  <si>
    <t>Průhyb HS:</t>
  </si>
  <si>
    <t>Průhyb:</t>
  </si>
  <si>
    <t>Dynamické hodnoty:</t>
  </si>
  <si>
    <t>Ekvivalentní pružinová tuhost:</t>
  </si>
  <si>
    <t>Zatížení od nárazu plov. předmětu:</t>
  </si>
  <si>
    <t>Pole</t>
  </si>
  <si>
    <t>Hydrodynamický (HD) &amp; Hydrostatický (HS)</t>
  </si>
  <si>
    <t>Hydrodynamický tlak na hrázní bloky:</t>
  </si>
  <si>
    <t>Hydrodynamický tlak na sloupky:</t>
  </si>
  <si>
    <t>Hydrostatický + hydrodynamický tlak na hrázní bloky:</t>
  </si>
  <si>
    <t>Hydrostatický tlak na hrázní bloky:</t>
  </si>
  <si>
    <t>Hydrostatický tlak na sloupky:</t>
  </si>
  <si>
    <t>Kombinace hydrodyn. + hadrostat. + plovoucí předmět</t>
  </si>
  <si>
    <t>Součinitel kombinace:</t>
  </si>
  <si>
    <t>Materiálové hodnoty:</t>
  </si>
  <si>
    <t>Moment od celkového tlaku:</t>
  </si>
  <si>
    <t>Moment od HD:</t>
  </si>
  <si>
    <t>Moment od HD+HS:</t>
  </si>
  <si>
    <t>Moment od HS:</t>
  </si>
  <si>
    <t>Moment od plovoucího předmětu:</t>
  </si>
  <si>
    <t>Po datu (zbývají</t>
  </si>
  <si>
    <t>Napětí od plovoucího předmětu:</t>
  </si>
  <si>
    <t>Napětí HD:</t>
  </si>
  <si>
    <t>Napětí HD+HS:</t>
  </si>
  <si>
    <t>Napětí HS:</t>
  </si>
  <si>
    <t>Napětí od</t>
  </si>
  <si>
    <t>Napětí:</t>
  </si>
  <si>
    <t>Mez kluzu Rp 0,2:</t>
  </si>
  <si>
    <t>Rozpětí / Průhyb HD:</t>
  </si>
  <si>
    <t>Rozpětí / Průhyb HD+HS:</t>
  </si>
  <si>
    <t>Rozpětí / Průhyb HS:</t>
  </si>
  <si>
    <t>Rozpětí / Průhyb:</t>
  </si>
  <si>
    <t>dny)</t>
  </si>
  <si>
    <t>součinitel bezpečnosti zatížení:</t>
  </si>
  <si>
    <t>součinitel bezpečnosti materiálu:</t>
  </si>
  <si>
    <t>Plovoucí předmět</t>
  </si>
  <si>
    <t>ztratí excelová tabulka platnost</t>
  </si>
  <si>
    <t>Verze:</t>
  </si>
  <si>
    <t>maximální průhyb hrázních bloků (1/150 = Standard)</t>
  </si>
  <si>
    <t>maximální průhyb sloupků (1/150 = Standard)</t>
  </si>
  <si>
    <t>STATIKA HRÁZNÍCH BLOKŮ</t>
  </si>
  <si>
    <t>STATIKA KRUHOVÉHO SLOUPKU</t>
  </si>
  <si>
    <t>BHW</t>
  </si>
  <si>
    <t>BHW+Freibord-Voll</t>
  </si>
  <si>
    <t>Dammbalken 1</t>
  </si>
  <si>
    <t>Spannstück mit 6-Kantschraube</t>
  </si>
  <si>
    <t>Clamping element with hex-cap screw</t>
  </si>
  <si>
    <t>Pièce de serrage avec vis à six pans</t>
  </si>
  <si>
    <t>tenditore con vite a testa esagonale</t>
  </si>
  <si>
    <t>Napínák s šestihranným šroubem</t>
  </si>
  <si>
    <t>Element dociskowy ze śrubą z łbem 6-kątnym</t>
  </si>
  <si>
    <t>Feszítőelem 6-lapfejű csavarral</t>
  </si>
  <si>
    <t>Fixeerstuk met zeskantschroef</t>
  </si>
  <si>
    <t>Vpenjalni kos s 6-robim vijakom</t>
  </si>
  <si>
    <t>Spännstycke med sexkantsskruv</t>
  </si>
  <si>
    <t>Spændestykke med 6-kantskrue</t>
  </si>
  <si>
    <t>KLEMSTYKKE SIDE med 6-kantskrue</t>
  </si>
  <si>
    <t>Zatezni element sa šesterokutnim vijkom</t>
  </si>
  <si>
    <t>Spannstück mit Sterngriff</t>
  </si>
  <si>
    <t>Clamping element with star grip screw</t>
  </si>
  <si>
    <t>Pièce de serrage à poignée étoile</t>
  </si>
  <si>
    <t>tenditore con manopola a stella</t>
  </si>
  <si>
    <t>Napínák s hvězdicovým kolečkem</t>
  </si>
  <si>
    <t>Element dociskowy z uchwytem gwiazdkowym</t>
  </si>
  <si>
    <t>Feszítőelem csillagmarkolattal</t>
  </si>
  <si>
    <t>Fixeerstuk met sterknop</t>
  </si>
  <si>
    <t>Vpenjalni kos z zvezdastim gumbom</t>
  </si>
  <si>
    <t>Spännstycke med stjärngrepp</t>
  </si>
  <si>
    <t>Spændestykke med stjerneformet greb</t>
  </si>
  <si>
    <t>KLEMSTYKKE SIDE med stjernegrep</t>
  </si>
  <si>
    <t>Zatezni element sa zvjezdastom ručkom</t>
  </si>
  <si>
    <t>Berechnung U-Profilhöhe bei Montage in Leibung zum Einfädeln</t>
  </si>
  <si>
    <t>System 50 + 80:</t>
  </si>
  <si>
    <t>Système 50 + 80 :</t>
  </si>
  <si>
    <t>sistema 50 + 80:</t>
  </si>
  <si>
    <t>50 + 80-s rendszer</t>
  </si>
  <si>
    <t>Systeem 50 + 80:</t>
  </si>
  <si>
    <t>Sistem 50 + 80:</t>
  </si>
  <si>
    <t>Sustav 50 + 80:</t>
  </si>
  <si>
    <t>Mindestüberstand über Stauhöhe:</t>
  </si>
  <si>
    <t>Bemaßung</t>
  </si>
  <si>
    <t>Kontaktní osoba:</t>
  </si>
  <si>
    <t>Číslo zákazníka:</t>
  </si>
  <si>
    <t>Hák hrázního bloku</t>
  </si>
  <si>
    <t>Před ostěním</t>
  </si>
  <si>
    <t>Volný bok [mm]:</t>
  </si>
  <si>
    <t>Boční díly</t>
  </si>
  <si>
    <t>Fixační šroub krytu:</t>
  </si>
  <si>
    <t>Hydrostatický &amp; - dynamický</t>
  </si>
  <si>
    <t>Dauerbodendichtung 25</t>
  </si>
  <si>
    <t>Trvalé spodní těsnění 25</t>
  </si>
  <si>
    <t>Stałe uszczelnienie podłogowe 25</t>
  </si>
  <si>
    <t>Bentmaradó talajtömítés 25</t>
  </si>
  <si>
    <t>Duurzame Bodemafdichting 25</t>
  </si>
  <si>
    <t>Trajno talno tesnilo 25</t>
  </si>
  <si>
    <t>PERMANENTGOLVTÄTNING 25</t>
  </si>
  <si>
    <t>Permanent bundtætning 25</t>
  </si>
  <si>
    <t>Permanent bunntetning 25</t>
  </si>
  <si>
    <t>Trajno brtvljenje prema tlu 25</t>
  </si>
  <si>
    <t>H001083</t>
  </si>
  <si>
    <t>Dauer Bodendichtung 25:</t>
  </si>
  <si>
    <t>Grundprofil 50 (H-Profil v.d.L.) Sonderlänge exkl. Dichtung, (Stangenware)</t>
  </si>
  <si>
    <t>Grundprofil 80 (H-Profil v.d.L.) Sonderlänge exkl. Dichtung, (Stangenware)</t>
  </si>
  <si>
    <t>Rundprofil 50 Sonderlänge exkl. Dichtung, (Stangenware)</t>
  </si>
  <si>
    <t>Rundprofil 50-90° Sonderlänge exkl. Dichtung, (Stangenware)</t>
  </si>
  <si>
    <t>Rundprofil 50-Vario Sonderlänge exkl. Dichtung, (Stangenware)</t>
  </si>
  <si>
    <t>Rundprofil 80 gr. Sonderlänge exkl. Dichtung, (Stangenware)</t>
  </si>
  <si>
    <t>Rundprofil 80 Sonderlänge exkl. Dichtung, (Stangenware)</t>
  </si>
  <si>
    <t>Rundprofil 80-90° Sonderlänge exkl. Dichtung, (Stangenware)</t>
  </si>
  <si>
    <t>Rundprofil 80-Vario Sonderlänge exkl. Dichtung, (Stangenware)</t>
  </si>
  <si>
    <t>U-Profil 25 Sonderlänge exkl. Dichtung, (Stangenware)</t>
  </si>
  <si>
    <t>U-Profil 50 Sonderlänge exkl. Dichtung, (Stangenware)</t>
  </si>
  <si>
    <t>U-Profil 80 Sonderlänge exkl. Dichtung, (Stangenware)</t>
  </si>
  <si>
    <t>U-Profil 25 Sonderlänge exkl. Dichtung Vor Laibung, (Stangenware)</t>
  </si>
  <si>
    <t>H001103</t>
  </si>
  <si>
    <t>Určení výšky U-Profilu pro umožnění zasunutí hrázního bloku při montáži "zapuštěné do ostění"</t>
  </si>
  <si>
    <t>Délka hrázního bloku:</t>
  </si>
  <si>
    <t>Rozměry</t>
  </si>
  <si>
    <t>Servis:</t>
  </si>
  <si>
    <t>Systém 25:</t>
  </si>
  <si>
    <t>Systém 50 + 80:</t>
  </si>
  <si>
    <t>Systém 50:</t>
  </si>
  <si>
    <t>Systém 80:</t>
  </si>
  <si>
    <t>Beräkning U-profilhöjd vid diagonal inpassning av dämmbalk</t>
  </si>
  <si>
    <t>DÄMMBALKSKROK</t>
  </si>
  <si>
    <t>DÄMMBALKLÄNDG:</t>
  </si>
  <si>
    <t>Kundnummer:</t>
  </si>
  <si>
    <t>Minimihöjd över vattennivå:</t>
  </si>
  <si>
    <t>dimensioner</t>
  </si>
  <si>
    <t>[L] svetlá šírka</t>
  </si>
  <si>
    <t>[balenie]</t>
  </si>
  <si>
    <t>Výpočtový nástroj od PREFA bol vytvorený mimoriadne starostlivo.</t>
  </si>
  <si>
    <t>Napriek tomu sa môžu výsledky výpočtov, vzhľadom na individuálne zvláštnosti konštrukcie každého</t>
  </si>
  <si>
    <t>protipovodňového systému a na možné chybné zadanie, považovať len za nezáväzné odporúčania.</t>
  </si>
  <si>
    <t>Rovnako aj stavebné nedostatky, predovšetkým nedostatočne tesné súčasti stavebného objektu, hydrostatické pôsobenie a neprimerané zaobchádzanie so stavebnými dielmi,</t>
  </si>
  <si>
    <t>ako aj poškodenia mechanickým pôsobením osôb alebo predmetov nepodliehajú záruke zo strany firmy PREFA.</t>
  </si>
  <si>
    <t>Obrázok 1</t>
  </si>
  <si>
    <t>Kryt</t>
  </si>
  <si>
    <t>Kryt V 25, navŕtaný a odhrotovaný</t>
  </si>
  <si>
    <t>Kryt V 50, navŕtaný a odhrotovaný</t>
  </si>
  <si>
    <t>Kryt V 80, navŕtaný a odhrotovaný</t>
  </si>
  <si>
    <t>Kryt VO 25, navŕtaný a odhrotovaný</t>
  </si>
  <si>
    <t>Kryt VO 50, navŕtaný a odhrotovaný</t>
  </si>
  <si>
    <t>Kryt VO 80, navŕtaný a odhrotovaný</t>
  </si>
  <si>
    <t>Pozor! Maximálna dĺžka pri nátere 3 000 mm</t>
  </si>
  <si>
    <t>POZOR: je zvolených priveľa kruhových profilov</t>
  </si>
  <si>
    <t>Hliník</t>
  </si>
  <si>
    <t>Náraz plávajúceho predmetu (len ak smeruje z prítokového uhla)</t>
  </si>
  <si>
    <t>Hmotnosť narážajúceho predmetu:</t>
  </si>
  <si>
    <t>Hmotnosť narážajúceho predmetu: m</t>
  </si>
  <si>
    <t>Prítokový uhol [°]:</t>
  </si>
  <si>
    <t>Prítokový uhol:</t>
  </si>
  <si>
    <t>Technické oddelenie</t>
  </si>
  <si>
    <t>Počet rovnakých systémov:</t>
  </si>
  <si>
    <t>Č. artikla</t>
  </si>
  <si>
    <t>Príplatok za vyfrézovanie bočných dielov pre hradidlá</t>
  </si>
  <si>
    <t>Príplatok za zmenu dĺžky bočných dielov</t>
  </si>
  <si>
    <t>Príplatok za hodinu plánovania</t>
  </si>
  <si>
    <t>Príplatok za privarenie ukotvenia (každých 300 mm)</t>
  </si>
  <si>
    <t>Vyfrézovanie bočných dielov pre hradidlá</t>
  </si>
  <si>
    <t>Typ vyhotovenia</t>
  </si>
  <si>
    <t>Využitie HD:</t>
  </si>
  <si>
    <t>Využitie HD+HS:</t>
  </si>
  <si>
    <t>Využitie HS:</t>
  </si>
  <si>
    <t>Využitie v dôsledku</t>
  </si>
  <si>
    <t>Využitie:</t>
  </si>
  <si>
    <t>Pri neodbornej montáži a/alebo údržbe alebo pri použití iného ako originálneho príslušenstva nepreberá PREFA žiadnu záruku.</t>
  </si>
  <si>
    <t>Pre systém 25 je možné len 1 pole!</t>
  </si>
  <si>
    <t>Menovitý krútiaci moment HD:</t>
  </si>
  <si>
    <t>Menovitý krútiaci moment HD+HS:</t>
  </si>
  <si>
    <t>Menovitý krútiaci moment HS:</t>
  </si>
  <si>
    <t>Menovitý krútiaci moment plávajúceho predmetu:</t>
  </si>
  <si>
    <t>Menovitý krútiaci moment:</t>
  </si>
  <si>
    <t>Výpočet výšky U-profilu pri montáži na vloženie do ostenia</t>
  </si>
  <si>
    <t>S povrchovou úpravou</t>
  </si>
  <si>
    <t>Povrchová úprava</t>
  </si>
  <si>
    <t>Označenie</t>
  </si>
  <si>
    <t>BHW = menovitá výška hladiny vody</t>
  </si>
  <si>
    <t>Prosím, vyberte</t>
  </si>
  <si>
    <t>Prírodný hliník</t>
  </si>
  <si>
    <t>Spodné tesnenie 25</t>
  </si>
  <si>
    <t>Spodné tesnenie 50</t>
  </si>
  <si>
    <t>Spodné tesnenie 80</t>
  </si>
  <si>
    <t>Zemné puzdro</t>
  </si>
  <si>
    <t>Zemné puzdro 50/80 hliník s povrchovou úpravou vrát. veka s tesnením</t>
  </si>
  <si>
    <t>Zemné puzdro 50/80 ušľachtilá oceľ s povrchovou úpravou vrát. veka s tesnením</t>
  </si>
  <si>
    <t>Zemné puzdro 50/80 Vario, hliník s povrchovou úpravou vrát. veka s tesnením</t>
  </si>
  <si>
    <t>Zemné puzdro 50/80 Vario, ušľachtilá oceľ s povrchovou úpravou vrát. veka s tesnením</t>
  </si>
  <si>
    <t>Veko zemného puzdra</t>
  </si>
  <si>
    <t>Zapustené</t>
  </si>
  <si>
    <t>Hradidlo</t>
  </si>
  <si>
    <t>Hradidlo 25/200 bez tesnenia, pílené a odhrotované</t>
  </si>
  <si>
    <t>Hradidlo 50/150 bez tesnenia, pílené a odhrotované</t>
  </si>
  <si>
    <t>Hradidlo 50/200 bez tesnenia, pílené a odhrotované</t>
  </si>
  <si>
    <t>Hradidlo 80/200 bez tesnenia, pílené a odhrotované</t>
  </si>
  <si>
    <t>Tesnenie hradidla (25)</t>
  </si>
  <si>
    <t>Tesnenie hradidla (50+80)</t>
  </si>
  <si>
    <t>Hák na hradidlo</t>
  </si>
  <si>
    <t>Dĺžka hradidla:</t>
  </si>
  <si>
    <t>Výpočtový nástroj zohľadňuje požiadavky uvedené v návode Merkblatt 6/BWK, vydanie december 2005:</t>
  </si>
  <si>
    <t>Výpočtový nástroj sa vzťahuje výlučne na protipovodňové systémy PREFA.</t>
  </si>
  <si>
    <t>Zadanie údajov</t>
  </si>
  <si>
    <t>Trvalo pružné spodné tesnenie 50</t>
  </si>
  <si>
    <t>Trvalo pružné spodné tesnenie 80</t>
  </si>
  <si>
    <t>Trvalo pružné spodné tesnenie:</t>
  </si>
  <si>
    <t>Definícia poľa svetlej šírky:</t>
  </si>
  <si>
    <t>Hustota vody vrát. prímesí:</t>
  </si>
  <si>
    <r>
      <rPr>
        <sz val="11"/>
        <color theme="1"/>
        <rFont val="Calibri"/>
        <family val="2"/>
        <scheme val="minor"/>
      </rPr>
      <t>Hustota vody vrát. prímesí:</t>
    </r>
    <r>
      <rPr>
        <sz val="11"/>
        <color theme="1"/>
        <rFont val="Calibri"/>
        <family val="2"/>
        <scheme val="minor"/>
      </rPr>
      <t xml:space="preserve">  </t>
    </r>
    <r>
      <rPr>
        <sz val="11"/>
        <color theme="1"/>
        <rFont val="Calibri"/>
        <family val="2"/>
        <scheme val="minor"/>
      </rPr>
      <t>r</t>
    </r>
    <r>
      <rPr>
        <vertAlign val="subscript"/>
        <sz val="11"/>
        <color rgb="FF000000"/>
        <rFont val="Calibri"/>
        <family val="2"/>
        <scheme val="minor"/>
      </rPr>
      <t>w</t>
    </r>
  </si>
  <si>
    <t>Tesnenie pre veko a zemné puzdro veľké, priemer 230 mm</t>
  </si>
  <si>
    <t>Tesnenie pre veko a zemné puzdro malé, priemer 170 mm</t>
  </si>
  <si>
    <t>Výsledky výpočtov sa nedajú aplikovať na iné produkty alebo spôsoby použitia.</t>
  </si>
  <si>
    <t>Výsledky výpočtov sa majú používať len na protipovodňový systém podľa zadaných údajov.</t>
  </si>
  <si>
    <t>Uvedené ceny sú platné do vydania nového cenníka, pričom je vyhradené právo na skoršie zmeny.</t>
  </si>
  <si>
    <t>Údaje zadané používateľom automaticky spracuje výpočtový nástroj, ktorý však nemôže skontrolovať ich správnosť.</t>
  </si>
  <si>
    <t>Prehyb</t>
  </si>
  <si>
    <t>Prehyb HD:</t>
  </si>
  <si>
    <t>Prehyb HD+HS:</t>
  </si>
  <si>
    <t>Prehyb HS:</t>
  </si>
  <si>
    <t>Prehyb:</t>
  </si>
  <si>
    <t>Dynamické údaje:</t>
  </si>
  <si>
    <t>Ušľachtilá oceľ</t>
  </si>
  <si>
    <t>Vyhlásenie o súhlase</t>
  </si>
  <si>
    <t>Potrebná Výška profilu pre napinák:</t>
  </si>
  <si>
    <t>Ekvivalent tuhosti pružiny:</t>
  </si>
  <si>
    <t>Ekvivalent záťaže pri náraze plávajúceho predmetu:</t>
  </si>
  <si>
    <t>Farba:</t>
  </si>
  <si>
    <t>FB = voľný diel</t>
  </si>
  <si>
    <t>Č. poľa</t>
  </si>
  <si>
    <t>Firma/objednávateľ:</t>
  </si>
  <si>
    <t>Rýchlosť toku:</t>
  </si>
  <si>
    <t>Rýchlosť toku: v</t>
  </si>
  <si>
    <t>Pri výpočte sa používa, resp. zohľadňuje táto evidencia:</t>
  </si>
  <si>
    <t>Voľný diel [mm]:</t>
  </si>
  <si>
    <t>Celková dĺžka</t>
  </si>
  <si>
    <t>Základný profil 50 (H-profil pred ostením) bez tesnenia, navŕtaný a odhrotovaný</t>
  </si>
  <si>
    <t>Základný profil 50 (H-profil pred ostením), neštandardná dĺžka, bez tesnenia, navŕtaný a odhrotovaný</t>
  </si>
  <si>
    <t>Základný profil 50 (H-profil pred ostením), tyčový tovar, bez tesnenia, navŕtaný a odhrotovaný</t>
  </si>
  <si>
    <t>Základný profil 80 (H-profil pred ostením) bez tesnenia, navŕtaný a odhrotovaný</t>
  </si>
  <si>
    <t>Základný profil 80 (H-profil pred ostením), neštandardná dĺžka, bez tesnenia, navŕtaný a odhrotovaný</t>
  </si>
  <si>
    <t>Základný profil 80 (H-profil pred ostením), tyčový tovar, bez tesnenia, navŕtaný a odhrotovaný</t>
  </si>
  <si>
    <t>Tesnenie základného profilu</t>
  </si>
  <si>
    <t>Konzolový držiak na hradidlá</t>
  </si>
  <si>
    <t>Konzolové držiaky na hradidlá:</t>
  </si>
  <si>
    <t>Pomôcka na zdvíhanie</t>
  </si>
  <si>
    <t>Hydrodynamický (HD) a hydrostatický (HS)</t>
  </si>
  <si>
    <t>Hydrodynamické pôsobenie</t>
  </si>
  <si>
    <t>Hydrodynamický tlak na hradidlá:</t>
  </si>
  <si>
    <t>Hydrodynamický tlak na stĺpy:</t>
  </si>
  <si>
    <t>Hydrostatický a hydrodynamický</t>
  </si>
  <si>
    <t>Hydrostatické pôsobenie</t>
  </si>
  <si>
    <t>Hydrostatický + hydrodynamický tlak na hradidlá:</t>
  </si>
  <si>
    <t>Hydrostatický tlak na hradidlá:</t>
  </si>
  <si>
    <t>Hydrostatický tlak na stĺpy:</t>
  </si>
  <si>
    <t>V ostení</t>
  </si>
  <si>
    <t>VÝPOČET</t>
  </si>
  <si>
    <t>Žiadny</t>
  </si>
  <si>
    <t>Kombinácia hydrodynamika + hydrostatika + plávajúci predmet</t>
  </si>
  <si>
    <t>Koeficient kombinácie:</t>
  </si>
  <si>
    <t>Komisia:</t>
  </si>
  <si>
    <t>Kontaktná osoba:</t>
  </si>
  <si>
    <t>Č. zákazníka:</t>
  </si>
  <si>
    <t>Kryt úložiska</t>
  </si>
  <si>
    <t>Ochrana životného prostredia</t>
  </si>
  <si>
    <t>Dĺžka</t>
  </si>
  <si>
    <t>Zmena dĺžky bočných dielov</t>
  </si>
  <si>
    <t>Svetelná šírka [mm]:</t>
  </si>
  <si>
    <t>Adresa dodania:</t>
  </si>
  <si>
    <t>Vľavo</t>
  </si>
  <si>
    <t>Údaje o materiáli:</t>
  </si>
  <si>
    <t>Maximálny prehyb hradidla (1/150 = štandard)</t>
  </si>
  <si>
    <t>Maximálny prehyb okrúhleho stĺpa (1/150 = štandard)</t>
  </si>
  <si>
    <t>Výpočet množstva/požiadavka</t>
  </si>
  <si>
    <t>Minimálna výška nad hladinou vody:</t>
  </si>
  <si>
    <t>S plávajúcimi predmetmi</t>
  </si>
  <si>
    <t>Moment v dôsledku celkového tlaku:</t>
  </si>
  <si>
    <t>Moment v dôsledku HD:</t>
  </si>
  <si>
    <t>Moment v dôsledku HD+HS:</t>
  </si>
  <si>
    <t>Moment v dôsledku HS:</t>
  </si>
  <si>
    <t>Moment v dôsledku plávajúceho predmetu:</t>
  </si>
  <si>
    <t>Spôsob montáže</t>
  </si>
  <si>
    <t>Pomôcka na montáž zemného puzdra</t>
  </si>
  <si>
    <t>Násobiteľ</t>
  </si>
  <si>
    <t>Po uplynutí dátumu (ešte</t>
  </si>
  <si>
    <t>Meno:</t>
  </si>
  <si>
    <t>Kotviace zariadenie na hradidlo: max. 1 750</t>
  </si>
  <si>
    <t>Kotviace zariadenie vrátane upevňovacej zarážky, spájacej kotvy a závitovej tyče</t>
  </si>
  <si>
    <t>Miesto:</t>
  </si>
  <si>
    <t>Plán hradidiel</t>
  </si>
  <si>
    <t>PREFA ponúka používateľom bezplatný výpočtový nástroj pre protipovodňové systémy PREFA.</t>
  </si>
  <si>
    <t>PREFA PROTIPOVODŇOVÁ OCHRANA</t>
  </si>
  <si>
    <t>PREFA ZADÁVACÍ FORMULÁR PRE PROTIPOVODŇOVÚ OCHRANU</t>
  </si>
  <si>
    <t>PREFA neručí za správnosť a úplnosť výsledkov výpočtu alebo za náhradu škôd, ktoré na základe nich vzniknú.</t>
  </si>
  <si>
    <t>PREFA neručí za úplné zabránenie vzniku škôd.</t>
  </si>
  <si>
    <t>PREFA považuje výpočtový nástroj za pomôcku pre odborníkov, ktorá ich však nezbavuje povinnosti preveriť návrh pre každý individuálny prípad.</t>
  </si>
  <si>
    <t>Cena bez DPH</t>
  </si>
  <si>
    <t>Cena za bm alebo ks</t>
  </si>
  <si>
    <t>Príliš veľká výška profilu!</t>
  </si>
  <si>
    <t>Zľava</t>
  </si>
  <si>
    <t>RAL alebo PREFA farba:</t>
  </si>
  <si>
    <t>Vpravo</t>
  </si>
  <si>
    <t>Kruhový profil 50 bez tesnenia, navŕtaný a odhrotovaný</t>
  </si>
  <si>
    <t>Kruhový profil 50, neštandardná dĺžka, bez tesnenia, navŕtaný a odhrotovaný</t>
  </si>
  <si>
    <t>Kruhový profil 50 – 90° bez tesnenia, navŕtaný a odhrotovaný</t>
  </si>
  <si>
    <t>Kruhový profil 50 – 90°, neštandardná dĺžka, bez tesnenia, navŕtaný a odhrotovaný</t>
  </si>
  <si>
    <t>Kruhový profil 50 – Vario bez tesnenia, navŕtaný a odhrotovaný</t>
  </si>
  <si>
    <t>Kruhový profil 50 – Vario, neštandardná dĺžka, bez tesnenia, navŕtaný a odhrotovaný</t>
  </si>
  <si>
    <t>Kruhový profil 80 bez tesnenia, navŕtaný a odhrotovaný</t>
  </si>
  <si>
    <t>Kruhový profil 80 veľký, bez tesnenia, navŕtaný a odhrotovaný</t>
  </si>
  <si>
    <t>Kruhový profil 80 veľký, neštandardná dĺžka, bez tesnenia, navŕtaný a odhrotovaný</t>
  </si>
  <si>
    <t>Kruhový profil 80, neštandardná dĺžka, bez tesnenia, navŕtaný a odhrotovaný</t>
  </si>
  <si>
    <t>Kruhový profil 80 – 90° bez tesnenia, navŕtaný a odhrotovaný</t>
  </si>
  <si>
    <t>Kruhový profil 80 – 90°, neštandardná dĺžka, bez tesnenia, navŕtaný a odhrotovaný</t>
  </si>
  <si>
    <t>Kruhový profil 80 – Vario bez tesnenia, navŕtaný a odhrotovaný</t>
  </si>
  <si>
    <t>Kruhový profil 80 – Vario, neštandardná dĺžka, bez tesnenia, navŕtaný a odhrotovaný</t>
  </si>
  <si>
    <t>Kruhový profil veľký</t>
  </si>
  <si>
    <t>Kruhový profil Vario</t>
  </si>
  <si>
    <t>Bočné diely</t>
  </si>
  <si>
    <t>Osadzovací nástroj na spájaciu kotvu</t>
  </si>
  <si>
    <t>Poistná skrutka krycieho profilu:</t>
  </si>
  <si>
    <t>Poistná skrutka krycieho profilu</t>
  </si>
  <si>
    <t>Mimoriadne náklady</t>
  </si>
  <si>
    <t>Mimoriadna zľava</t>
  </si>
  <si>
    <t>Upevňovacia zarážka so 6-hrannou skrutkou</t>
  </si>
  <si>
    <t>Upevňovacia zarážka so 6-hrannou skrutkou:</t>
  </si>
  <si>
    <t>Upevňovacia zarážka s hviezdicovým úchopom</t>
  </si>
  <si>
    <t>Upevňovacia zarážka s hviezdicovým úchopom:</t>
  </si>
  <si>
    <t>Napätie v dôsledku plávajúceho predmetu:</t>
  </si>
  <si>
    <t>Napätie HD:</t>
  </si>
  <si>
    <t>Napätie HD+HS:</t>
  </si>
  <si>
    <t>Napätie HS:</t>
  </si>
  <si>
    <t>Napätie v dôsledku</t>
  </si>
  <si>
    <t>Napätie:</t>
  </si>
  <si>
    <t>Stav:</t>
  </si>
  <si>
    <t>STATIKA HRADIDLA</t>
  </si>
  <si>
    <t>STATIKA OKRÚHLEHO STĹPU</t>
  </si>
  <si>
    <t>Statické využitie hradidiel v %</t>
  </si>
  <si>
    <t>Statické využitie stĺpov v %</t>
  </si>
  <si>
    <t>Výpočet statiky</t>
  </si>
  <si>
    <t>Výška hladiny (BHW) [mm]:</t>
  </si>
  <si>
    <t>hod</t>
  </si>
  <si>
    <t>Stĺp č.</t>
  </si>
  <si>
    <t>Medza klzu Rp 0,2:</t>
  </si>
  <si>
    <t>Kus</t>
  </si>
  <si>
    <t>Rozpätie/prehyb HD:</t>
  </si>
  <si>
    <t>Rozpätie/prehyb HD+HS:</t>
  </si>
  <si>
    <t>Rozpätie/prehyb HS:</t>
  </si>
  <si>
    <t>Rozpätie/prehyb:</t>
  </si>
  <si>
    <t>Systém 25:</t>
  </si>
  <si>
    <t>Systém 50:</t>
  </si>
  <si>
    <t>Systém 80:</t>
  </si>
  <si>
    <t>d</t>
  </si>
  <si>
    <t>dní)</t>
  </si>
  <si>
    <t>Koeficient bezpečnosti zaťaženia:</t>
  </si>
  <si>
    <t>Koeficient bezpečnosti materiálu:</t>
  </si>
  <si>
    <t>Telefón:</t>
  </si>
  <si>
    <t>Bezpečnosť záťaže</t>
  </si>
  <si>
    <t>Plávajúci predmet</t>
  </si>
  <si>
    <t>U-profil 25 bez tesnenia, pred ostením, navŕtaný a odhrotovaný</t>
  </si>
  <si>
    <t>U-profil 25 bez tesnenia, navŕtaný a odhrotovaný</t>
  </si>
  <si>
    <t>U-profil 25, neštandardná dĺžka, bez tesnenia, pred ostením, navŕtaný a odhrotovaný</t>
  </si>
  <si>
    <t>U-profil 25, neštandardná dĺžka, bez tesnenia, navŕtaný a odhrotovaný</t>
  </si>
  <si>
    <t>U-profil 50 bez tesnenia, navŕtaný a odhrotovaný</t>
  </si>
  <si>
    <t>U-profil 50, neštandardná dĺžka, bez tesnenia, navŕtaný a odhrotovaný</t>
  </si>
  <si>
    <t>U-profil 80 bez tesnenia, navŕtaný a odhrotovaný</t>
  </si>
  <si>
    <t>U-profil 80, neštandardná dĺžka, bez tesnenia, navŕtaný a odhrotovaný</t>
  </si>
  <si>
    <t>Privarené ukotvenie 300 mm</t>
  </si>
  <si>
    <t>stratí excelová tabuľka funkčnosť</t>
  </si>
  <si>
    <t>Verzia:</t>
  </si>
  <si>
    <t>Plné zaplavenie</t>
  </si>
  <si>
    <t>Pred ostením</t>
  </si>
  <si>
    <t>Predpoklady evidencie o statike (podľa potreby možno zmeniť):</t>
  </si>
  <si>
    <t>VS = plné zaplavenie</t>
  </si>
  <si>
    <r>
      <rPr>
        <sz val="11"/>
        <color theme="1"/>
        <rFont val="Calibri"/>
        <family val="2"/>
        <scheme val="minor"/>
      </rPr>
      <t>Špecifická hmotnosť vody: g</t>
    </r>
    <r>
      <rPr>
        <vertAlign val="subscript"/>
        <sz val="11"/>
        <color rgb="FF000000"/>
        <rFont val="Calibri"/>
        <family val="2"/>
        <scheme val="minor"/>
      </rPr>
      <t>w</t>
    </r>
  </si>
  <si>
    <t>Príslušenstvo</t>
  </si>
  <si>
    <t>Predbežná suma</t>
  </si>
  <si>
    <t>rozmery</t>
  </si>
  <si>
    <t>Trvalo pružné spodné tesnenie 25</t>
  </si>
  <si>
    <t>[UM]</t>
  </si>
  <si>
    <t>[CF]</t>
  </si>
  <si>
    <t>date le caratteristiche specifiche di ogni singolo progetto ed un possibile inserimento errato dei  dati,</t>
  </si>
  <si>
    <t xml:space="preserve"> i risultati del calcolo possono essere letti solamente raccomandazioni indicative.</t>
  </si>
  <si>
    <t>Allo stesso modo i difetti strutturali, in particolare la non impermeabilità del materiale di costruzione, la forza idrostatica e la manipolazione impropria dei componenti,</t>
  </si>
  <si>
    <t>così come danni causati dall'azione meccanica di persone o oggetti, costituiscono una esclusione di responsabilità da parte di PREFA.</t>
  </si>
  <si>
    <t>Coperchio</t>
  </si>
  <si>
    <t>Coperchio V 25, forato e sbavato</t>
  </si>
  <si>
    <t>Coperchio V 50, forato e sbavato</t>
  </si>
  <si>
    <t>Coperchio V 80, forato e sbavato</t>
  </si>
  <si>
    <t>Coperchio VO 25, forato e sbavato</t>
  </si>
  <si>
    <t>Coperchio VO 50, forato e sbavato</t>
  </si>
  <si>
    <t>Coperchio VO 80, forato e sbavato</t>
  </si>
  <si>
    <t>ATTENZIONE: troppi montanti circolari selezionati</t>
  </si>
  <si>
    <t>Urto da detriti (solo inserendo l'angolo di afflusso)</t>
  </si>
  <si>
    <t>massa detriti impattanti:</t>
  </si>
  <si>
    <t>angolo di afflusso [°]:</t>
  </si>
  <si>
    <t>Angolo di afflusso:</t>
  </si>
  <si>
    <t>Utilizzo HD:</t>
  </si>
  <si>
    <t>Utilizzo HD+HS:</t>
  </si>
  <si>
    <t>Utilizzo HS:</t>
  </si>
  <si>
    <t>Utilizzo in conformità</t>
  </si>
  <si>
    <t>Utilizzo:</t>
  </si>
  <si>
    <t>Coppia nominale HD:</t>
  </si>
  <si>
    <t>Coppia nominale HD+HS:</t>
  </si>
  <si>
    <t>Coppia nominale HS:</t>
  </si>
  <si>
    <t>Coppia nominale detriti:</t>
  </si>
  <si>
    <t>Coppia nominale:</t>
  </si>
  <si>
    <t>Calcolo dell'altezza dei profili a U per l'inserimento</t>
  </si>
  <si>
    <t>Gancio per sponde</t>
  </si>
  <si>
    <t>Lunghezza sponde:</t>
  </si>
  <si>
    <t>Lo strumento di calcolo si riferisce esclusivamente ai sistemi PREFA di protezione contro le inondazioni.</t>
  </si>
  <si>
    <t>Densità dell'acqua incl. sedimenti:</t>
  </si>
  <si>
    <t>Densità dell'acqua incl. sedimenti  rw</t>
  </si>
  <si>
    <t>I risultati del calcolo non sono applicabili ad altri prodotti.</t>
  </si>
  <si>
    <t>I risultati del calcolo devono essere utilizzati solo per il sistema di protezione contro le inondazioni relativo ai dati inseriti.</t>
  </si>
  <si>
    <t>I prezzi inseriti sono validi fino alla prossima revisione del Listino Prezzi o al prossimo aggiornamento prezzi.</t>
  </si>
  <si>
    <t>Freccia HD:</t>
  </si>
  <si>
    <t>Freccia HD+HS:</t>
  </si>
  <si>
    <t>Freccia HS:</t>
  </si>
  <si>
    <t>Freccia:</t>
  </si>
  <si>
    <t>Dati dinamici:</t>
  </si>
  <si>
    <t>altezza del profilo per elemento di bloccaggio:</t>
  </si>
  <si>
    <t>Rigidità del ricambio molla</t>
  </si>
  <si>
    <t>Scambio di carico per detriti impattanti</t>
  </si>
  <si>
    <t>FB = Bordo libero</t>
  </si>
  <si>
    <t>Velocità di flusso:</t>
  </si>
  <si>
    <t>velocità di flusso: v</t>
  </si>
  <si>
    <t>Bordo libero [mm]:</t>
  </si>
  <si>
    <t>montante per parete 50 (profilo ad H dav. apert.) esclusa guarnizione, forato e sbavato</t>
  </si>
  <si>
    <t>montante per parete 50 (profilo ad H dav. apert.) lunghezza fuori standard esclusa guarnizione, forato e sbavato</t>
  </si>
  <si>
    <t>montante per parete 50 (profilo ad H dav. apert.) profilati in barre esclusa guarnizione, forato e sbavato</t>
  </si>
  <si>
    <t>montante per parete 80 (profilo ad H dav. apert.) esclusa guarnizione, forate e sbavato</t>
  </si>
  <si>
    <t>montante per parete 80 (profilo ad H dav. apert.) lunghezza fuori standard esclusa guarnizione, forate e sbavato</t>
  </si>
  <si>
    <t>montante per parete 80 (profilo ad H dav. apert.) profilati in barre esclusa guarnizione, forate e sbavato</t>
  </si>
  <si>
    <t>Idrodinamica (HD) &amp; Idrostatica (HS)</t>
  </si>
  <si>
    <t>Carico idrodinamico sulle sponde:</t>
  </si>
  <si>
    <t>Carico idrodinamico sui montanti:</t>
  </si>
  <si>
    <t>Carico idrostatico + idrodinamico sulle sponde:</t>
  </si>
  <si>
    <t>Carico idrostatico sulle sponde</t>
  </si>
  <si>
    <t>Carico idrostatico sui montanti:</t>
  </si>
  <si>
    <t>Incassato nell'intradosso</t>
  </si>
  <si>
    <t>Combinazione Idrodinamica + Idrostatica + detriti</t>
  </si>
  <si>
    <t>Referente:</t>
  </si>
  <si>
    <t>Numero cliente:</t>
  </si>
  <si>
    <t>Specifiche del materiale:</t>
  </si>
  <si>
    <t>Freccia max delle sponde (1/150 = Standard)</t>
  </si>
  <si>
    <t>Freccia max del montante  (1/150 = Standard)</t>
  </si>
  <si>
    <t>Sbalzo minimo sopra il livello di accumulo</t>
  </si>
  <si>
    <t>Coppia dovuta alla pressione totale:</t>
  </si>
  <si>
    <t>Coppia dovuta a HD:</t>
  </si>
  <si>
    <t>Coppia dovuta a HD+HS:</t>
  </si>
  <si>
    <t>Coppia dovuta a HS:</t>
  </si>
  <si>
    <t>Coppia dovuta a detriti:</t>
  </si>
  <si>
    <t>Dopo la data (ancora</t>
  </si>
  <si>
    <t>PREFA offre all'utente uno strumento di calcolo gratuito per i sistemi di protezione dalle inondazioni.</t>
  </si>
  <si>
    <t>per PREFA questo strumento di calcolo è per il  tecnico specialista un aiuto che non lo esenta dall'obbligo di eseguire un esame indipendente.</t>
  </si>
  <si>
    <t>Tensione da detriti:</t>
  </si>
  <si>
    <t>Tensione HD:</t>
  </si>
  <si>
    <t>Tensione HD+HS:</t>
  </si>
  <si>
    <t>Tensione HS:</t>
  </si>
  <si>
    <t>Tensione da</t>
  </si>
  <si>
    <t>Tensione:</t>
  </si>
  <si>
    <t>Stato:</t>
  </si>
  <si>
    <t>STATICA SPONDE</t>
  </si>
  <si>
    <t>STATICA MONTANTE CIRCOLARE</t>
  </si>
  <si>
    <t>Altezza di accumulo (BHW) [mm]:</t>
  </si>
  <si>
    <t>Snervamento Rp 0,2:</t>
  </si>
  <si>
    <t>Campata / Freccia HD:</t>
  </si>
  <si>
    <t>Campata / Freccia HD+HS:</t>
  </si>
  <si>
    <t>Campata / Freccia HS:</t>
  </si>
  <si>
    <t>Campata / Freccia:</t>
  </si>
  <si>
    <t>giorni)</t>
  </si>
  <si>
    <t>Carico sicurezza parziale:</t>
  </si>
  <si>
    <t>Materiale sicurezza parziale:</t>
  </si>
  <si>
    <t>Detriti</t>
  </si>
  <si>
    <t>Excel perde la sua funzionalità</t>
  </si>
  <si>
    <t>Versione:</t>
  </si>
  <si>
    <t>davanti alla spalletta</t>
  </si>
  <si>
    <t>VS = Massima piena</t>
  </si>
  <si>
    <t>[Paar]</t>
  </si>
  <si>
    <t>[pár]</t>
  </si>
  <si>
    <t>[pair]</t>
  </si>
  <si>
    <t>[paire]</t>
  </si>
  <si>
    <t>[paio]</t>
  </si>
  <si>
    <t>[para]</t>
  </si>
  <si>
    <t>[paar-]</t>
  </si>
  <si>
    <t>[par]</t>
  </si>
  <si>
    <t>Bearbeiter:</t>
  </si>
  <si>
    <t>PROJEKTDATEN</t>
  </si>
  <si>
    <t>Tel.:</t>
  </si>
  <si>
    <t>E-Mail:</t>
  </si>
  <si>
    <t>ANSTAUHÖHE:</t>
  </si>
  <si>
    <t>LICHTE BREITE:</t>
  </si>
  <si>
    <t>lichte Breite</t>
  </si>
  <si>
    <t>MENGE:</t>
  </si>
  <si>
    <t>BESCHICHTUNG:</t>
  </si>
  <si>
    <t>ja</t>
  </si>
  <si>
    <t>Abdeckung:</t>
  </si>
  <si>
    <t>Lagerabdeckung:</t>
  </si>
  <si>
    <r>
      <t>Dammbalken: (</t>
    </r>
    <r>
      <rPr>
        <sz val="11"/>
        <color theme="1"/>
        <rFont val="Calibri"/>
        <family val="2"/>
      </rPr>
      <t>≤ 3 m)</t>
    </r>
  </si>
  <si>
    <t>MONTAGE:</t>
  </si>
  <si>
    <t>vor der Laibung</t>
  </si>
  <si>
    <t>bündig</t>
  </si>
  <si>
    <t>in der Laibung</t>
  </si>
  <si>
    <t>ABDECKUNG:</t>
  </si>
  <si>
    <t>gerade</t>
  </si>
  <si>
    <t>SPANNER</t>
  </si>
  <si>
    <t>DAMMBALKENHALTERUNG</t>
  </si>
  <si>
    <t>(FÜR LAGERUNG)</t>
  </si>
  <si>
    <t>LAGERABDECKUNG</t>
  </si>
  <si>
    <t>DAUERBODENDICHTUNG</t>
  </si>
  <si>
    <t>(diese ist bei dauerhaftem Aufbau des</t>
  </si>
  <si>
    <t>Hochwasserschutzes erforderlich)</t>
  </si>
  <si>
    <t>NOTIZEN:</t>
  </si>
  <si>
    <t>mit Sterngriff</t>
  </si>
  <si>
    <t>mit 6kt-Schraube</t>
  </si>
  <si>
    <t>PREFA HWS BERECHNUNGSTOOL</t>
  </si>
  <si>
    <t>exkl. MwSt.</t>
  </si>
  <si>
    <t>inkl. MwSt.</t>
  </si>
  <si>
    <t>+20 % MwSt.</t>
  </si>
  <si>
    <t>Endsumme exkl. MwSt.</t>
  </si>
  <si>
    <t>Endsumme inkl. MwSt.</t>
  </si>
  <si>
    <t>PREFA HWS ERHEBUNGSBOGEN</t>
  </si>
  <si>
    <t>Tragsicherheitsauslastung</t>
  </si>
  <si>
    <t>Dichtungsroller 25/50</t>
  </si>
  <si>
    <t>Dichtungsroller 80</t>
  </si>
  <si>
    <t>H002051</t>
  </si>
  <si>
    <t>H002050</t>
  </si>
  <si>
    <t>Lagerabdeckung Mittenteil</t>
  </si>
  <si>
    <t>H002010</t>
  </si>
  <si>
    <t>H002011</t>
  </si>
  <si>
    <t>NEU</t>
  </si>
  <si>
    <t>Kunststoffabdeckung für U-Profil 25</t>
  </si>
  <si>
    <t>H001104</t>
  </si>
  <si>
    <t>Halterung für Dammbalken Seitenteil</t>
  </si>
  <si>
    <t>This document is valid until 31 December 2021</t>
  </si>
  <si>
    <t>Jelen dokumentum 2021 12.31-ig érvényes</t>
  </si>
  <si>
    <t>Platnosť tohto dokumentu končí 31. 12. 2021</t>
  </si>
  <si>
    <t>De geldigheid van dit document eindigt op 31-12-2021</t>
  </si>
  <si>
    <t>Ta dokument je veljaven do 31. 12. 2021.</t>
  </si>
  <si>
    <t>Detta dokument upphör att gälla 2021-12-31</t>
  </si>
  <si>
    <t>Montagematerial</t>
  </si>
  <si>
    <t>Montage</t>
  </si>
  <si>
    <t>Fahrtkosten</t>
  </si>
  <si>
    <t>Pa</t>
  </si>
  <si>
    <t>Winkelabdeckung VO</t>
  </si>
  <si>
    <t>Angular cover plate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</si>
  <si>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</si>
  <si>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</si>
  <si>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</si>
  <si>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</si>
  <si>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</si>
  <si>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</si>
  <si>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</si>
  <si>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</si>
  <si>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</si>
  <si>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</si>
  <si>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</si>
  <si>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Gerade V</t>
  </si>
  <si>
    <t>Straight V</t>
  </si>
  <si>
    <t>dritto V</t>
  </si>
  <si>
    <t>rovný V</t>
  </si>
  <si>
    <t>prosty V</t>
  </si>
  <si>
    <t>Egyenes V</t>
  </si>
  <si>
    <t>Rovný V</t>
  </si>
  <si>
    <t>Recht V</t>
  </si>
  <si>
    <t>ravno V</t>
  </si>
  <si>
    <t>Rak V</t>
  </si>
  <si>
    <t>Lige V</t>
  </si>
  <si>
    <t>Rett V</t>
  </si>
  <si>
    <t>Ravno V</t>
  </si>
  <si>
    <t>Gátgerenda tartó</t>
  </si>
  <si>
    <t>Gátgerenda hosszméret:</t>
  </si>
  <si>
    <t>Kontakt személy:</t>
  </si>
  <si>
    <t>Vevő szám:</t>
  </si>
  <si>
    <t>Méretezés</t>
  </si>
  <si>
    <t>PREFA Árvízvédelmi ajánlatkérő formanyomtatvány</t>
  </si>
  <si>
    <t>ÁFA nélkül</t>
  </si>
  <si>
    <t>ÁFÁval</t>
  </si>
  <si>
    <t>ACHTUNG! In Ungarn ist 27% Mwst!</t>
  </si>
  <si>
    <t>Végösszeg áfával</t>
  </si>
  <si>
    <t>Végösszeg áfa nélkül</t>
  </si>
  <si>
    <t>Tartó gátgerenda oldalrészeinek</t>
  </si>
  <si>
    <t>Tömítőszalag 25/50</t>
  </si>
  <si>
    <t>Tömítőszalag 80</t>
  </si>
  <si>
    <t>Szerelőanyag</t>
  </si>
  <si>
    <t>Szerelés</t>
  </si>
  <si>
    <t>Szállítási költség</t>
  </si>
  <si>
    <t>Minimális kinyúlás a védelmi magasság felett</t>
  </si>
  <si>
    <t xml:space="preserve">U-profilok magasságának számítása nyílásban történő beépítésnél, a gerendák behelyezhetőségének ellenőrzéséhez. </t>
  </si>
  <si>
    <t>+27% áfával</t>
  </si>
  <si>
    <t>conditions: price validity 1 month, Lead time on request, no fixing material included.</t>
  </si>
  <si>
    <t>Frachtkosten</t>
  </si>
  <si>
    <t>Cover V 25, deburred</t>
  </si>
  <si>
    <t>Cover VO 25, deburred</t>
  </si>
  <si>
    <t>Coperchio V 25, sbavato</t>
  </si>
  <si>
    <t>Coperchio VO 25, sbavato</t>
  </si>
  <si>
    <t>Kryt V 25, zafixování</t>
  </si>
  <si>
    <t>Kryt VO 25, zafixování</t>
  </si>
  <si>
    <t>Osłona V 25, okrawana</t>
  </si>
  <si>
    <t>Osłona VO 25, okrawana</t>
  </si>
  <si>
    <t>Takaróelem V 25, sorjázott</t>
  </si>
  <si>
    <t>Takaróelem VO 25, sorjázott</t>
  </si>
  <si>
    <t>Abdeckung V 25, entgratet</t>
  </si>
  <si>
    <t>Abdeckung VO 25, entgratet</t>
  </si>
  <si>
    <t>Hinweis: Angebotsgültigkeit 1 Monat; Lieferzeit auf Anfrage; kein Montagematerial enthalten</t>
  </si>
  <si>
    <t>Bodenhülse 50/80 beschichtet inkl. Aluminiumdeckel und Dichtung</t>
  </si>
  <si>
    <t>Bodenhülse 50/80 beschichtet inkl. Edelstahldeckel und Dichtung</t>
  </si>
  <si>
    <t>Wandprofil:</t>
  </si>
  <si>
    <t>Ausfräsung Wandprofil für Dammbalken</t>
  </si>
  <si>
    <t>Längenänderung von 2 Wandprofiln</t>
  </si>
  <si>
    <t>Aufpreis Ausfräsung Wandprofil für Dammbalken</t>
  </si>
  <si>
    <t>Aufpreis Längenänderung Wandprofil</t>
  </si>
  <si>
    <t>Ausfräsung Wandprofil für DB</t>
  </si>
  <si>
    <t>Längenänderung Wandprofil</t>
  </si>
  <si>
    <t>Wandprofil</t>
  </si>
  <si>
    <t>zusätzlicher Randabstand:</t>
  </si>
  <si>
    <t>Sonderanfertigung</t>
  </si>
  <si>
    <t>Sonderanfertigung (Preis auf Anfrage)</t>
  </si>
  <si>
    <t>H001062</t>
  </si>
  <si>
    <t>H001072</t>
  </si>
  <si>
    <t>H251022</t>
  </si>
  <si>
    <t>H251023</t>
  </si>
  <si>
    <t>H251042</t>
  </si>
  <si>
    <t>H251043</t>
  </si>
  <si>
    <t>H251052</t>
  </si>
  <si>
    <t>H251053</t>
  </si>
  <si>
    <t>H801620</t>
  </si>
  <si>
    <t>H801621</t>
  </si>
  <si>
    <t>H801622</t>
  </si>
  <si>
    <t>H801623</t>
  </si>
  <si>
    <t>H801630</t>
  </si>
  <si>
    <t>H801631</t>
  </si>
  <si>
    <t>H801632</t>
  </si>
  <si>
    <t>H801633</t>
  </si>
  <si>
    <t>H801640</t>
  </si>
  <si>
    <t>H801641</t>
  </si>
  <si>
    <t>H801642</t>
  </si>
  <si>
    <t>H801643</t>
  </si>
  <si>
    <t>H501620</t>
  </si>
  <si>
    <t>H501621</t>
  </si>
  <si>
    <t>H501622</t>
  </si>
  <si>
    <t>H501623</t>
  </si>
  <si>
    <t>H501630</t>
  </si>
  <si>
    <t>H501631</t>
  </si>
  <si>
    <t>H501632</t>
  </si>
  <si>
    <t>H501633</t>
  </si>
  <si>
    <t>H501640</t>
  </si>
  <si>
    <t>H501641</t>
  </si>
  <si>
    <t>H501642</t>
  </si>
  <si>
    <t>H501643</t>
  </si>
  <si>
    <t>H501650</t>
  </si>
  <si>
    <t>H501651</t>
  </si>
  <si>
    <t>H501652</t>
  </si>
  <si>
    <t>H501653</t>
  </si>
  <si>
    <t>Spannstück STIER mit 6-Kantschraube gefräst</t>
  </si>
  <si>
    <t>Spannstück mit Sterngriff STIER gefr.</t>
  </si>
  <si>
    <t>Abdeckung  V 25-1750mm</t>
  </si>
  <si>
    <t>Abdeckung  V 25-2150mm</t>
  </si>
  <si>
    <t>Abdeckung  VO 25-1750mm</t>
  </si>
  <si>
    <t>Abdeckung  VO 25-2150mm</t>
  </si>
  <si>
    <t>Spannstücke gefräst</t>
  </si>
  <si>
    <t>Spannstück mit Sterngriff gefräst</t>
  </si>
  <si>
    <t>Spannstück mit Sechskantschraube gefräst</t>
  </si>
  <si>
    <t>Bodenhülse (GROSS) 50 Vario und 80 beschichtet inkl. Aluminiumdeckel und Dichtung</t>
  </si>
  <si>
    <t>Bodenhülse (GROSS) 50 Vario und 80 beschichtet inkl. Edelstahldeckel und Dichtung</t>
  </si>
  <si>
    <t>Lagerabdeckung (Mittelteil)</t>
  </si>
  <si>
    <t>Lagerabdeckung (Seitenteil)</t>
  </si>
  <si>
    <t>Steher VARIO 15° 80-750 mm (Anfertigung auf Bestellung)</t>
  </si>
  <si>
    <t>Steher VARIO 15° 80-1350 mm (Anfertigung auf Bestellung)</t>
  </si>
  <si>
    <t>Steher VARIO 15° 80-1750 mm (Anfertigung auf Bestellung)</t>
  </si>
  <si>
    <t>Steher VARIO 15° 80-2150 mm (Anfertigung auf Bestellung)</t>
  </si>
  <si>
    <t>Steher VARIO 30° 80-750 mm (Anfertigung auf Bestellung)</t>
  </si>
  <si>
    <t>Steher VARIO 30° 80-1350 mm (Anfertigung auf Bestellung)</t>
  </si>
  <si>
    <t>Steher VARIO 30° 80-1750 mm (Anfertigung auf Bestellung)</t>
  </si>
  <si>
    <t>Steher VARIO 30° 80-2150 mm (Anfertigung auf Bestellung)</t>
  </si>
  <si>
    <t>Steher VARIO 45° 80-750 mm (Anfertigung auf Bestellung)</t>
  </si>
  <si>
    <t>Steher VARIO 45° 80-1350 mm (Anfertigung auf Bestellung)</t>
  </si>
  <si>
    <t>Steher VARIO 45° 80-1750 mm (Anfertigung auf Bestellung)</t>
  </si>
  <si>
    <t>Steher VARIO 45° 80-2150 mm (Anfertigung auf Bestellung)</t>
  </si>
  <si>
    <t>Steher VARIO 60° 80-750 mm (Anfertigung auf Bestellung)</t>
  </si>
  <si>
    <t>Steher VARIO 60° 80-1350 mm (Anfertigung auf Bestellung)</t>
  </si>
  <si>
    <t>Steher VARIO 60° 80-1750 mm (Anfertigung auf Bestellung)</t>
  </si>
  <si>
    <t>Steher VARIO 60° 80-2150 mm (Anfertigung auf Bestellung)</t>
  </si>
  <si>
    <t>Steher VARIO 15° 50-750 mm (Anfertigung auf Bestellung)</t>
  </si>
  <si>
    <t>Steher VARIO 15° 50-1350 mm (Anfertigung auf Bestellung)</t>
  </si>
  <si>
    <t>Steher VARIO 15° 50-1750 mm (Anfertigung auf Bestellung)</t>
  </si>
  <si>
    <t>Steher VARIO 15° 50-2150 mm (Anfertigung auf Bestellung)</t>
  </si>
  <si>
    <t>Steher VARIO 30° 50-750 mm (Anfertigung auf Bestellung)</t>
  </si>
  <si>
    <t>Steher VARIO 30° 50-1350 mm (Anfertigung auf Bestellung)</t>
  </si>
  <si>
    <t>Steher VARIO 30° 50-1750 mm (Anfertigung auf Bestellung)</t>
  </si>
  <si>
    <t>Steher VARIO 30° 50-2150 mm (Anfertigung auf Bestellung)</t>
  </si>
  <si>
    <t>Steher VARIO 45° 50-750 mm (Anfertigung auf Bestellung)</t>
  </si>
  <si>
    <t>Steher VARIO 45° 50-1350 mm (Anfertigung auf Bestellung)</t>
  </si>
  <si>
    <t>Steher VARIO 45° 50-1750 mm (Anfertigung auf Bestellung)</t>
  </si>
  <si>
    <t>Steher VARIO 45° 50-2150 mm (Anfertigung auf Bestellung)</t>
  </si>
  <si>
    <t>Steher VARIO 60° 50-750 mm (Anfertigung auf Bestellung)</t>
  </si>
  <si>
    <t>Steher VARIO 60° 50-1350 mm (Anfertigung auf Bestellung)</t>
  </si>
  <si>
    <t>Steher VARIO 60° 50-1750 mm (Anfertigung auf Bestellung)</t>
  </si>
  <si>
    <t>Steher VARIO 60° 50-2150 mm (Anfertigung auf Bestellung)</t>
  </si>
  <si>
    <t>Steher VARIO 75° 50-750 mm (Anfertigung auf Bestellung)</t>
  </si>
  <si>
    <t>Steher VARIO 75° 50-1350 mm (Anfertigung auf Bestellung)</t>
  </si>
  <si>
    <t>Steher VARIO 75° 50-1750 mm (Anfertigung auf Bestellung)</t>
  </si>
  <si>
    <t>Steher VARIO 75° 50-2150 mm (Anfertigung auf Bestellung)</t>
  </si>
  <si>
    <t>Die Gültigkeit dieses Dokumentes endet mit 31.12.2022</t>
  </si>
  <si>
    <t>Documento valido fino al 31.12.2022</t>
  </si>
  <si>
    <t>Platnost tohoto dokumentu končí k 31.12.2022</t>
  </si>
  <si>
    <t>Gyldigheden af dette dokument ophører 31.12.2022</t>
  </si>
  <si>
    <t>Dette dokumentet er gyldig til 31.12.2022</t>
  </si>
  <si>
    <t>Valjanost ovog dokumenta prestaje s 31.12.2022.</t>
  </si>
  <si>
    <t>Frachtkosten wird verrechnet ab einen Betrag von:</t>
  </si>
  <si>
    <t>Beschichtungspauschale wird verrechnet ab einen Betrag von:</t>
  </si>
  <si>
    <t>Besch.Pauschale händisch zum Testen definiert</t>
  </si>
  <si>
    <t>Summe aller Positionen</t>
  </si>
  <si>
    <t>MwSt.</t>
  </si>
  <si>
    <t>VAT</t>
  </si>
  <si>
    <t>I.V.A.</t>
  </si>
  <si>
    <t>káď</t>
  </si>
  <si>
    <t>faktura VAT</t>
  </si>
  <si>
    <t>áfa</t>
  </si>
  <si>
    <t>DPH</t>
  </si>
  <si>
    <t>DDV</t>
  </si>
  <si>
    <t>MOMS</t>
  </si>
  <si>
    <t>moms</t>
  </si>
  <si>
    <t>mva</t>
  </si>
  <si>
    <t>PDV</t>
  </si>
  <si>
    <t>Umrechnungsfaktor:</t>
  </si>
  <si>
    <t>Grundprofil 50 exkl. Dichtung, gebohrt und entgratet</t>
  </si>
  <si>
    <t>Grundprofil 50 Sonderlänge exkl. Dichtung, (Stangenware)</t>
  </si>
  <si>
    <t>Grundprofil 50 Stangenware exkl. Dichtung, gebohrt und entgratet</t>
  </si>
  <si>
    <t>Grundprofil 80 exkl. Dichtung, gebohrt und entgratet</t>
  </si>
  <si>
    <t>Grundprofil 80 Sonderlänge exkl. Dichtung, (Stangenware)</t>
  </si>
  <si>
    <t>Grundprofil 80 Stangenware exkl. Dichtung, gebohrt und entgratet</t>
  </si>
  <si>
    <t>Osnovni profil 50 bez brtve, bušen i s obrađenim rubovima</t>
  </si>
  <si>
    <t>Osnovni profil 50 posebna duljina bez brtve, bušen i s obrađenim rubovima</t>
  </si>
  <si>
    <t>Osnovni profil 50 šipka bez brtve, bušen i s obrađenim rubovima</t>
  </si>
  <si>
    <t>Osnovni profil 80 bez brtve, bušen i s obrađenim rubovima</t>
  </si>
  <si>
    <t>Osnovni profil 80 posebna duljina bez brtve, bušen i s obrađenim rubovima</t>
  </si>
  <si>
    <t>Osnovni profil 80 šipka bez brtve, bušen i s obrađenim rubovima</t>
  </si>
  <si>
    <t>Grunnprofil 50 ekskl. tetning, boret og avgradet</t>
  </si>
  <si>
    <t>Grunnprofil 50 Stangvare ekskl. tetning, boret og avgradet</t>
  </si>
  <si>
    <t>Grunnprofil 80 ekskl. tetning, boret og avgradet</t>
  </si>
  <si>
    <t>Grunnprofil 80 Spesiallengde ekskl. tetning, boret og avgradet</t>
  </si>
  <si>
    <t>Grunnprofil 80 Stangvare ekskl. tetning, boret og avgradet</t>
  </si>
  <si>
    <t>Grundprofil 50 ekskl. tætning, forboret og afgratet</t>
  </si>
  <si>
    <t>Grundprofil 50 Speciallængde ekskl. tætning, forboret og afgratet</t>
  </si>
  <si>
    <t>Grundprofil 50 Afskårne længder ekskl. tætning, forboret og afgratet</t>
  </si>
  <si>
    <t>Grundprofil 80 ekskl. tætning, forboret og afgratet</t>
  </si>
  <si>
    <t>Grundprofil 80 Speciallængde ekskl. tætning, forboret og afgratet</t>
  </si>
  <si>
    <t>Grundprofil 80 Afskårne længder ekskl. tætning, forboret og afgratet</t>
  </si>
  <si>
    <t>Grundprofil 50 exkl. tätning, borrad och avgradad</t>
  </si>
  <si>
    <t>Grundprofil 50 Speciallängd exkl. tätning, borrad och avgradad</t>
  </si>
  <si>
    <t>Grundprofil 50 Standardlängd exkl. tätning, borrad och avgradad</t>
  </si>
  <si>
    <t>Grundprofil 80 exkl. tätning, borrad och avgradad</t>
  </si>
  <si>
    <t>Grundprofil 80 Speciallängd exkl. tätning, borrad och avgradad</t>
  </si>
  <si>
    <t>Grundprofil 80 Standardlängd exkl. tätning, borrad och avgradad</t>
  </si>
  <si>
    <t>Osnovni profil 50 brez tesnila, z izvrtinami in posnetimi robovi</t>
  </si>
  <si>
    <t>Osnovni profil 50 Posebna dolžina brez tesnila, z izvrtinami in posnetimi robovi</t>
  </si>
  <si>
    <t>Osnovni profil 50 V palicah, brez tesnila, z izvrtinami in posnetimi robovi</t>
  </si>
  <si>
    <t>Osnovni profil 80 brez tesnila, z izvrtinami in posnetimi robovi</t>
  </si>
  <si>
    <t>Osnovni profil 80 Posebna dolžina brez tesnila, z izvrtinami in posnetimi robovi</t>
  </si>
  <si>
    <t>Osnovni profil 80 V palicah, brez tesnila, z izvrtinami in posnetimi robovi</t>
  </si>
  <si>
    <t>Basisprofiel 50 excl. afdichting, geboord en afgebraamd</t>
  </si>
  <si>
    <t>Basisprofiel 50 Aangepaste lengte excl. afdichting, geboord en afgebraamd</t>
  </si>
  <si>
    <t>Basisprofiel 50 Standaardlengte excl. afdichting, geboord en afgebraamd</t>
  </si>
  <si>
    <t>Basisprofiel 80 excl. afdichting, geboord en afgebraamd</t>
  </si>
  <si>
    <t>Basisprofiel 80 Aangepaste lengte excl. afdichting, geboord en afgebraamd</t>
  </si>
  <si>
    <t>Basisprofiel 80 Standaardlengte excl. afdichting, geboord en afgebraamd</t>
  </si>
  <si>
    <t>Základný profil 50, neštandardná dĺžka, bez tesnenia, navŕtaný a odhrotovaný</t>
  </si>
  <si>
    <t>Základný profil 50, tyčový tovar, bez tesnenia, navŕtaný a odhrotovaný</t>
  </si>
  <si>
    <t>Základný profil 80 bez tesnenia, navŕtaný a odhrotovaný</t>
  </si>
  <si>
    <t>Základný profil 80, neštandardná dĺžka, bez tesnenia, navŕtaný a odhrotovaný</t>
  </si>
  <si>
    <t>Základný profil 80, tyčový tovar, bez tesnenia, navŕtaný a odhrotovaný</t>
  </si>
  <si>
    <t>Profil podstawowy 50, długość specjalna bez uszczelnienia, nawiercony i okrawany</t>
  </si>
  <si>
    <t>Profil podstawowy 50, długość sztaby bez uszczelnienia, nawiercony i okrawany</t>
  </si>
  <si>
    <t>Profil podstawowy 80 bez uszczelnienia, nawiercony i okrawany</t>
  </si>
  <si>
    <t>Profil podstawowy 80, długość specjalna bez uszczelnienia, nawiercony i okrawany</t>
  </si>
  <si>
    <t>Profil podstawowy 80, długość sztaby bez uszczelnienia, nawiercony i okrawany</t>
  </si>
  <si>
    <t>Základní profil 50, bez těsnění, vrtaný, bez otřepů</t>
  </si>
  <si>
    <t>Základní profil 50, zvláštní délka, bez těsnění, vrtaný, bez otřepů</t>
  </si>
  <si>
    <t>Základní profil 50, tyčové zboží, bez těsnění, vrtaný, bez otřepů</t>
  </si>
  <si>
    <t>Základní profil 80, bez těsnění, vrtaný, bez otřepů</t>
  </si>
  <si>
    <t>Základní profil 80, zvláštní délka, bez těsnění, vrtaný, bez otřepů</t>
  </si>
  <si>
    <t>Základní profil 80, tyčové zboží, bez těsnění, vrtaný, bez otřepů</t>
  </si>
  <si>
    <t>montante per parete 50 esclusa guarnizione, forato e sbavato</t>
  </si>
  <si>
    <t>montante per parete 50 lunghezza fuori standard esclusa guarnizione, forato e sbavato</t>
  </si>
  <si>
    <t>montante per parete 50 profilati in barre esclusa guarnizione, forato e sbavato</t>
  </si>
  <si>
    <t>montante per parete 80 esclusa guarnizione, forate e sbavato</t>
  </si>
  <si>
    <t>montante per parete 80 lunghezza fuori standard esclusa guarnizione, forate e sbavato</t>
  </si>
  <si>
    <t>montante per parete 80 profilati in barre esclusa guarnizione, forate e sbavato</t>
  </si>
  <si>
    <t>Base profile 50 excl. seal, drilled and deburred</t>
  </si>
  <si>
    <t>Base profile 50 Special length excl. seal, drilled and deburred</t>
  </si>
  <si>
    <t>Base profile 50 Ready-made excl. seal, drilled and deburred</t>
  </si>
  <si>
    <t>Base profile 80 excl. seal, drilled and deburred</t>
  </si>
  <si>
    <t>Base profile 80 Special length excl. seal, drilled and deburred</t>
  </si>
  <si>
    <t>Base profile 80 Ready-made excl. seal, drilled and deburred</t>
  </si>
  <si>
    <t>Grundprofil 25 exkl. Dichtung, gebohrt und entgratet</t>
  </si>
  <si>
    <t>Grundprofil 25 Sonderlänge exkl. Dichtung, (Stangenware)</t>
  </si>
  <si>
    <t>Grundprofil 25 Stangenware exkl. Dichtung, gebohrt und entgratet</t>
  </si>
  <si>
    <t>Base profile 25 excl. seal, drilled and deburred</t>
  </si>
  <si>
    <t>Base profile 25 Special length excl. seal, drilled and deburred</t>
  </si>
  <si>
    <t>Base profile 25 Ready-made excl. seal, drilled and deburred</t>
  </si>
  <si>
    <t>montante per parete 25 esclusa guarnizione, forato e sbavato</t>
  </si>
  <si>
    <t>montante per parete 25 lunghezza fuori standard esclusa guarnizione, forato e sbavato</t>
  </si>
  <si>
    <t>montante per parete 25 profilati in barre esclusa guarnizione, forato e sbavato</t>
  </si>
  <si>
    <t>Základní profil 25, bez těsnění, vrtaný, bez otřepů</t>
  </si>
  <si>
    <t>Základní profil 25, zvláštní délka, bez těsnění, vrtaný, bez otřepů</t>
  </si>
  <si>
    <t>Základní profil 25, tyčové zboží, bez těsnění, vrtaný, bez otřepů</t>
  </si>
  <si>
    <t>Profil podstawowy 50, bez uszczelnienia, nawiercony i okrawany</t>
  </si>
  <si>
    <t>Profil podstawowy 25, bez uszczelnienia, nawiercony i okrawany</t>
  </si>
  <si>
    <t>Profil podstawowy 25, długość specjalna bez uszczelnienia, nawiercony i okrawany</t>
  </si>
  <si>
    <t>Profil podstawowy 25, długość sztaby bez uszczelnienia, nawiercony i okrawany</t>
  </si>
  <si>
    <t>H-profil 25, tömítés nélkül, furatolva és sorjázva</t>
  </si>
  <si>
    <t>H-profil 25, egyedi hosszméret, tömítés nélkül, furatolva és sorjázva</t>
  </si>
  <si>
    <t>H-profil 25, szálban, tömítés nélkül, furatolva és sorjázva</t>
  </si>
  <si>
    <t>Základný profil 25, bez tesnenia, navŕtaný a odhrotovaný</t>
  </si>
  <si>
    <t>Základný profil 25, neštandardná dĺžka, bez tesnenia, navŕtaný a odhrotovaný</t>
  </si>
  <si>
    <t>Základný profil 25, tyčový tovar, bez tesnenia, navŕtaný a odhrotovaný</t>
  </si>
  <si>
    <t>Základný profil 50, bez tesnenia, navŕtaný a odhrotovaný</t>
  </si>
  <si>
    <t>Basisprofiel 25 excl. afdichting, geboord en afgebraamd</t>
  </si>
  <si>
    <t>Basisprofiel 25 Aangepaste lengte excl. afdichting, geboord en afgebraamd</t>
  </si>
  <si>
    <t>Basisprofiel 25 Standaardlengte excl. afdichting, geboord en afgebraamd</t>
  </si>
  <si>
    <t>Osnovni profil 25 brez tesnila, z izvrtinami in posnetimi robovi</t>
  </si>
  <si>
    <t>Osnovni profil 25 Posebna dolžina brez tesnila, z izvrtinami in posnetimi robovi</t>
  </si>
  <si>
    <t>Osnovni profil 25 V palicah, brez tesnila, z izvrtinami in posnetimi robovi</t>
  </si>
  <si>
    <t>Grundprofil 25 exkl. tätning, borrad och avgradad</t>
  </si>
  <si>
    <t>Grundprofil 25 Speciallängd exkl. tätning, borrad och avgradad</t>
  </si>
  <si>
    <t>Grundprofil 25 Standardlängd exkl. tätning, borrad och avgradad</t>
  </si>
  <si>
    <t>Grundprofil 25 ekskl. tætning, forboret og afgratet</t>
  </si>
  <si>
    <t>Grundprofil 25 Speciallængde ekskl. tætning, forboret og afgratet</t>
  </si>
  <si>
    <t>Grundprofil 25 Afskårne længder ekskl. tætning, forboret og afgratet</t>
  </si>
  <si>
    <t>Grunnprofil 50 Spesiallengde ekskl. tetning, boret og avgradet</t>
  </si>
  <si>
    <t>Grunnprofil 25 ekskl. tetning, boret og avgradet</t>
  </si>
  <si>
    <t>Grunnprofil 25 Spesiallengde ekskl. tetning, boret og avgradet</t>
  </si>
  <si>
    <t>Grunnprofil 25 Stangvare ekskl. tetning, boret og avgradet</t>
  </si>
  <si>
    <t>Osnovni profil 25 bez brtve, bušen i s obrađenim rubovima</t>
  </si>
  <si>
    <t>Osnovni profil 25 posebna duljina bez brtve, bušen i s obrađenim rubovima</t>
  </si>
  <si>
    <t>Osnovni profil 25 šipka bez brtve, bušen i s obrađenim rubovima</t>
  </si>
  <si>
    <t>VarioSteher</t>
  </si>
  <si>
    <t>HWS</t>
  </si>
  <si>
    <t>Berechnung der erforderlichen Überstände (Kippmaß)</t>
  </si>
  <si>
    <t>HAD</t>
  </si>
  <si>
    <t>Eingabedaten</t>
  </si>
  <si>
    <r>
      <t xml:space="preserve">Maß </t>
    </r>
    <r>
      <rPr>
        <sz val="8"/>
        <color theme="1"/>
        <rFont val="Calibri"/>
        <family val="2"/>
        <scheme val="minor"/>
      </rPr>
      <t>[mm]</t>
    </r>
  </si>
  <si>
    <t>Lichte Breite</t>
  </si>
  <si>
    <t>l =</t>
  </si>
  <si>
    <r>
      <t>h</t>
    </r>
    <r>
      <rPr>
        <vertAlign val="subscript"/>
        <sz val="11"/>
        <color theme="1"/>
        <rFont val="Calibri"/>
        <family val="2"/>
        <scheme val="minor"/>
      </rPr>
      <t>DS</t>
    </r>
  </si>
  <si>
    <r>
      <t>h</t>
    </r>
    <r>
      <rPr>
        <vertAlign val="subscript"/>
        <sz val="11"/>
        <color theme="1"/>
        <rFont val="Calibri"/>
        <family val="2"/>
        <scheme val="minor"/>
      </rPr>
      <t>N</t>
    </r>
  </si>
  <si>
    <t>Länge Dammbalken</t>
  </si>
  <si>
    <r>
      <t>l</t>
    </r>
    <r>
      <rPr>
        <vertAlign val="subscript"/>
        <sz val="11"/>
        <color theme="1"/>
        <rFont val="Calibri"/>
        <family val="2"/>
        <scheme val="minor"/>
      </rPr>
      <t>D</t>
    </r>
    <r>
      <rPr>
        <sz val="11"/>
        <color theme="1"/>
        <rFont val="Calibri"/>
        <family val="2"/>
        <scheme val="minor"/>
      </rPr>
      <t xml:space="preserve"> =</t>
    </r>
  </si>
  <si>
    <r>
      <t>h</t>
    </r>
    <r>
      <rPr>
        <vertAlign val="subscript"/>
        <sz val="11"/>
        <color theme="1"/>
        <rFont val="Calibri"/>
        <family val="2"/>
        <scheme val="minor"/>
      </rPr>
      <t>DG</t>
    </r>
  </si>
  <si>
    <t>Gesamthöhe Dammbalken</t>
  </si>
  <si>
    <r>
      <t>h</t>
    </r>
    <r>
      <rPr>
        <vertAlign val="subscript"/>
        <sz val="11"/>
        <color theme="1"/>
        <rFont val="Calibri"/>
        <family val="2"/>
        <scheme val="minor"/>
      </rPr>
      <t>DG</t>
    </r>
    <r>
      <rPr>
        <sz val="11"/>
        <color theme="1"/>
        <rFont val="Calibri"/>
        <family val="2"/>
        <scheme val="minor"/>
      </rPr>
      <t xml:space="preserve"> =</t>
    </r>
  </si>
  <si>
    <t>Einstand</t>
  </si>
  <si>
    <t>in Wandprofil</t>
  </si>
  <si>
    <t>Nuthöhe Dammbalken</t>
  </si>
  <si>
    <r>
      <t>h</t>
    </r>
    <r>
      <rPr>
        <vertAlign val="subscript"/>
        <sz val="11"/>
        <color theme="1"/>
        <rFont val="Calibri"/>
        <family val="2"/>
        <scheme val="minor"/>
      </rPr>
      <t>N</t>
    </r>
    <r>
      <rPr>
        <sz val="11"/>
        <color theme="1"/>
        <rFont val="Calibri"/>
        <family val="2"/>
        <scheme val="minor"/>
      </rPr>
      <t xml:space="preserve"> =</t>
    </r>
  </si>
  <si>
    <t>Profiltiefe t</t>
  </si>
  <si>
    <t>Profiltiefe Wandprofil</t>
  </si>
  <si>
    <t>t =</t>
  </si>
  <si>
    <r>
      <t xml:space="preserve">Toleranz Lichte </t>
    </r>
    <r>
      <rPr>
        <sz val="8"/>
        <color theme="1"/>
        <rFont val="Calibri"/>
        <family val="2"/>
        <scheme val="minor"/>
      </rPr>
      <t>(für Dichtung etc..)</t>
    </r>
  </si>
  <si>
    <r>
      <rPr>
        <sz val="11"/>
        <color theme="1"/>
        <rFont val="Symbol"/>
        <family val="1"/>
        <charset val="2"/>
      </rPr>
      <t>D</t>
    </r>
    <r>
      <rPr>
        <sz val="11"/>
        <color theme="1"/>
        <rFont val="Calibri"/>
        <family val="2"/>
        <scheme val="minor"/>
      </rPr>
      <t>l =</t>
    </r>
  </si>
  <si>
    <t>Festlegung</t>
  </si>
  <si>
    <t>alphaD1 =</t>
  </si>
  <si>
    <t>alpha1 =</t>
  </si>
  <si>
    <r>
      <t>ü</t>
    </r>
    <r>
      <rPr>
        <vertAlign val="subscript"/>
        <sz val="11"/>
        <color theme="1"/>
        <rFont val="Calibri"/>
        <family val="2"/>
        <scheme val="minor"/>
      </rPr>
      <t>P</t>
    </r>
    <r>
      <rPr>
        <sz val="11"/>
        <color theme="1"/>
        <rFont val="Calibri"/>
        <family val="2"/>
        <scheme val="minor"/>
      </rPr>
      <t xml:space="preserve"> =</t>
    </r>
  </si>
  <si>
    <t>Überstand Profil</t>
  </si>
  <si>
    <r>
      <t>ü</t>
    </r>
    <r>
      <rPr>
        <b/>
        <vertAlign val="subscript"/>
        <sz val="14"/>
        <color theme="1"/>
        <rFont val="Calibri"/>
        <family val="2"/>
        <scheme val="minor"/>
      </rPr>
      <t>P</t>
    </r>
    <r>
      <rPr>
        <b/>
        <sz val="14"/>
        <color theme="1"/>
        <rFont val="Calibri"/>
        <family val="2"/>
        <scheme val="minor"/>
      </rPr>
      <t xml:space="preserve"> =</t>
    </r>
  </si>
  <si>
    <t>Überstand Sturz</t>
  </si>
  <si>
    <r>
      <t>ü</t>
    </r>
    <r>
      <rPr>
        <b/>
        <vertAlign val="subscript"/>
        <sz val="14"/>
        <color theme="1"/>
        <rFont val="Calibri"/>
        <family val="2"/>
        <scheme val="minor"/>
      </rPr>
      <t>ST</t>
    </r>
    <r>
      <rPr>
        <b/>
        <sz val="14"/>
        <color theme="1"/>
        <rFont val="Calibri"/>
        <family val="2"/>
        <scheme val="minor"/>
      </rPr>
      <t xml:space="preserve"> =</t>
    </r>
  </si>
  <si>
    <t>50+80/200</t>
  </si>
  <si>
    <t>Steher VARIO 15° 50 Sonderlänge exkl. Dichtung, (Stangenware)</t>
  </si>
  <si>
    <t>Steher VARIO 30° 50 Sonderlänge exkl. Dichtung, (Stangenware)</t>
  </si>
  <si>
    <t>Steher VARIO 45° 50 Sonderlänge exkl. Dichtung, (Stangenware)</t>
  </si>
  <si>
    <t>Steher VARIO 60° 50 Sonderlänge exkl. Dichtung, (Stangenware)</t>
  </si>
  <si>
    <t>Steher VARIO 75° 50 Sonderlänge exkl. Dichtung, (Stangenware)</t>
  </si>
  <si>
    <t>Steher VARIO 15° 80 Sonderlänge exkl. Dichtung, (Stangenware)</t>
  </si>
  <si>
    <t>Steher VARIO 30° 80 Sonderlänge exkl. Dichtung, (Stangenware)</t>
  </si>
  <si>
    <t>Steher VARIO 45° 80 Sonderlänge exkl. Dichtung, (Stangenware)</t>
  </si>
  <si>
    <t>Steher VARIO 60° 80 Sonderlänge exkl. Dichtung, (Stangenware)</t>
  </si>
  <si>
    <t>Grund-Profil 25 exkl. Dichtung: VOR LAIBUNG</t>
  </si>
  <si>
    <t>H251200</t>
  </si>
  <si>
    <t>H251201</t>
  </si>
  <si>
    <t>H251202</t>
  </si>
  <si>
    <t>H251203</t>
  </si>
  <si>
    <t>H251291</t>
  </si>
  <si>
    <t>Steher VARIO 50+80</t>
  </si>
  <si>
    <t>1 /</t>
  </si>
  <si>
    <t>Processor:</t>
  </si>
  <si>
    <t>Addetto:</t>
  </si>
  <si>
    <t>Zpracoval:</t>
  </si>
  <si>
    <t>Referent:</t>
  </si>
  <si>
    <t>Feldolgozta:</t>
  </si>
  <si>
    <t>Spracovateľ:</t>
  </si>
  <si>
    <t>Verantwoordelijke:</t>
  </si>
  <si>
    <t>Bearbetas av:</t>
  </si>
  <si>
    <t>Bearbejder:</t>
  </si>
  <si>
    <t>Ansvarlig:</t>
  </si>
  <si>
    <t>Odgovorna osoba:</t>
  </si>
  <si>
    <t>Cache de protection V 25, ébavuré</t>
  </si>
  <si>
    <t>Cache de protection VO 25, ébavuré</t>
  </si>
  <si>
    <t>Prix</t>
  </si>
  <si>
    <t>Coefficient de sécurité</t>
  </si>
  <si>
    <t>Profil en applique 50 (profil en h monté en applique), fourni sans joint, percé et ébavuré</t>
  </si>
  <si>
    <t>Profil en applique 50 (profil en h monté en applique), longueur personnalisée, fourni sans joint, percé et ébavuré</t>
  </si>
  <si>
    <t>Profil en applique 50 (profil en h monté en applique), profilés, fourni sans joint, percé et ébavuré</t>
  </si>
  <si>
    <t>Profil en applique 80 (profil en h monté en applique), fourni sans joint, percé et ébavuré</t>
  </si>
  <si>
    <t>Profil en applique 80 (profil en h monté en applique), longueur personnalisée, fourni sans joint, percé et ébavuré</t>
  </si>
  <si>
    <t>Profil en applique 80 (profil en h monté en applique), profilés, fourni sans joint, percé et ébavuré</t>
  </si>
  <si>
    <t>Console murale pour batardeaux</t>
  </si>
  <si>
    <t>Pied Vario 15° 80-750 mm (Exécution sur commande)</t>
  </si>
  <si>
    <t>Pied Vario 15° 80-1350 mm (Exécution sur commande)</t>
  </si>
  <si>
    <t>Pied Vario 15° 80-1750 mm (Exécution sur commande)</t>
  </si>
  <si>
    <t>Pied Vario 15° 80-2150 mm (Exécution sur commande)</t>
  </si>
  <si>
    <t>Pied Vario 30° 80-750 mm (Exécution sur commande)</t>
  </si>
  <si>
    <t>Pied Vario 30° 80-1350 mm (Exécution sur commande)</t>
  </si>
  <si>
    <t>Pied Vario 30° 80-1750 mm (Exécution sur commande)</t>
  </si>
  <si>
    <t>Pied Vario 30° 80-2150 mm (Exécution sur commande)</t>
  </si>
  <si>
    <t>Pied Vario 45° 80-750 mm (Exécution sur commande)</t>
  </si>
  <si>
    <t>Pied Vario 45° 80-1350 mm (Exécution sur commande)</t>
  </si>
  <si>
    <t>Pied Vario 45° 80-1750 mm (Exécution sur commande)</t>
  </si>
  <si>
    <t>Pied Vario 45° 80-2150 mm (Exécution sur commande)</t>
  </si>
  <si>
    <t>Pied Vario 60° 80-750 mm (Exécution sur commande)</t>
  </si>
  <si>
    <t>Pied Vario 60° 80-1350 mm (Exécution sur commande)</t>
  </si>
  <si>
    <t>Pied Vario 60° 80-1750 mm (Exécution sur commande)</t>
  </si>
  <si>
    <t>Pied Vario 60° 80-2150 mm (Exécution sur commande)</t>
  </si>
  <si>
    <t>Pied Vario 15° 50-750 mm (Exécution sur commande)</t>
  </si>
  <si>
    <t>Pied Vario 15° 50-1350 mm (Exécution sur commande)</t>
  </si>
  <si>
    <t>Pied Vario 15° 50-1750 mm (Exécution sur commande)</t>
  </si>
  <si>
    <t>Pied Vario 15° 50-2150 mm (Exécution sur commande)</t>
  </si>
  <si>
    <t>Pied Vario 30° 50-750 mm (Exécution sur commande)</t>
  </si>
  <si>
    <t>Pied Vario 30° 50-1350 mm (Exécution sur commande)</t>
  </si>
  <si>
    <t>Pied Vario 30° 50-1750 mm (Exécution sur commande)</t>
  </si>
  <si>
    <t>Pied Vario 30° 50-2150 mm (Exécution sur commande)</t>
  </si>
  <si>
    <t>Pied Vario 45° 50-750 mm (Exécution sur commande)</t>
  </si>
  <si>
    <t>Pied Vario 45° 50-1350 mm (Exécution sur commande)</t>
  </si>
  <si>
    <t>Pied Vario 45° 50-1750 mm (Exécution sur commande)</t>
  </si>
  <si>
    <t>Pied Vario 45° 50-2150 mm (Exécution sur commande)</t>
  </si>
  <si>
    <t>Pied Vario 60° 50-750 mm (Exécution sur commande)</t>
  </si>
  <si>
    <t>Pied Vario 60° 50-1350 mm (Exécution sur commande)</t>
  </si>
  <si>
    <t>Pied Vario 60° 50-1750 mm (Exécution sur commande)</t>
  </si>
  <si>
    <t>Pied Vario 60° 50-2150 mm (Exécution sur commande)</t>
  </si>
  <si>
    <t>Pied Vario 75° 50-750 mm (Exécution sur commande)</t>
  </si>
  <si>
    <t>Pied Vario 75° 50-1350 mm (Exécution sur commande)</t>
  </si>
  <si>
    <t>Pied Vario 75° 50-1750 mm (Exécution sur commande)</t>
  </si>
  <si>
    <t>Pied Vario 75° 50-2150 mm (Exécution sur commande)</t>
  </si>
  <si>
    <t>Pied Vario 15° 50, longueur personnalisée, fourni sans joint, percé et ébavuré</t>
  </si>
  <si>
    <t>Pied Vario 30° 50, longueur personnalisée, fourni sans joint, percé et ébavuré</t>
  </si>
  <si>
    <t>Pied Vario 45° 50, longueur personnalisée, fourni sans joint, percé et ébavuré</t>
  </si>
  <si>
    <t>Pied Vario 60° 50, longueur personnalisée, fourni sans joint, percé et ébavuré</t>
  </si>
  <si>
    <t>Pied Vario 75° 50, longueur personnalisée, fourni sans joint, percé et ébavuré</t>
  </si>
  <si>
    <t>Pied Vario 15° 80, longueur personnalisée, fourni sans joint, percé et ébavuré</t>
  </si>
  <si>
    <t>Pied Vario 30° 80, longueur personnalisée, fourni sans joint, percé et ébavuré</t>
  </si>
  <si>
    <t>Pied Vario 45° 80, longueur personnalisée, fourni sans joint, percé et ébavuré</t>
  </si>
  <si>
    <t>Pied Vario 60° 80, longueur personnalisée, fourni sans joint, percé et ébavuré</t>
  </si>
  <si>
    <t>Cache de protection</t>
  </si>
  <si>
    <t>Cache de protection V 25, percé et ébavuré</t>
  </si>
  <si>
    <t>Cache de protection V 50, percé et ébavuré</t>
  </si>
  <si>
    <t>Cache de protection V 80, percé et ébavuré</t>
  </si>
  <si>
    <t>Cache de protection VO 25, percé et ébavuré</t>
  </si>
  <si>
    <t>Cache de protection VO 50, percé et ébavuré</t>
  </si>
  <si>
    <t>Cache de protection VO 80, percé et ébavuré</t>
  </si>
  <si>
    <t>Dimensionnement</t>
  </si>
  <si>
    <t>Calcul du profil U-pour le montage en embrasure, vide lumière</t>
  </si>
  <si>
    <t>Thermolaqué</t>
  </si>
  <si>
    <t>Thermolaquage</t>
  </si>
  <si>
    <t>Aluminium naturel</t>
  </si>
  <si>
    <t>Joint au sol 25</t>
  </si>
  <si>
    <t>Joint au sol 50</t>
  </si>
  <si>
    <t>Joint au sol 80</t>
  </si>
  <si>
    <t>Douille de sol</t>
  </si>
  <si>
    <t>Couvercle de douille de sol</t>
  </si>
  <si>
    <t>Intégré dans l’embrasure</t>
  </si>
  <si>
    <t>Batardeau</t>
  </si>
  <si>
    <t>Batardeau 25/200, fourni sans joint, scié et ébavuré</t>
  </si>
  <si>
    <t>Batardeau 50/150, fourni sans joint, scié et ébavuré</t>
  </si>
  <si>
    <t>Batardeau 50/200, fourni sans joint, scié et ébavuré</t>
  </si>
  <si>
    <t>Batardeau 80/200, fourni sans joint, scié et ébavuré</t>
  </si>
  <si>
    <t>Joint de batardeau (25)</t>
  </si>
  <si>
    <t>Joint de batardeau (50 + 80)</t>
  </si>
  <si>
    <t>Joint au sol permanent 50</t>
  </si>
  <si>
    <t>Joint au sol permanent 80</t>
  </si>
  <si>
    <t>Joint pour couvercle et grande douille de sol (diamètre : 230 mm)</t>
  </si>
  <si>
    <t>Joint pour couvercle et petite douille de sol (diamètre : 170 mm)</t>
  </si>
  <si>
    <t>Acier inoxydable</t>
  </si>
  <si>
    <t>Longueur totale</t>
  </si>
  <si>
    <t>Joint de profil en applique</t>
  </si>
  <si>
    <t>Action hydrodynamique</t>
  </si>
  <si>
    <t>Action hydrostatique</t>
  </si>
  <si>
    <t>Cage de protection</t>
  </si>
  <si>
    <t>Protection des paysages</t>
  </si>
  <si>
    <t>Longueur</t>
  </si>
  <si>
    <t>Vide lumière [mm] :</t>
  </si>
  <si>
    <t>Gauche</t>
  </si>
  <si>
    <t>Aide à la pose de la douille de sol</t>
  </si>
  <si>
    <t>Protection des bâtiments</t>
  </si>
  <si>
    <t>Rabais</t>
  </si>
  <si>
    <t>Droite</t>
  </si>
  <si>
    <t>Profil rond</t>
  </si>
  <si>
    <t>Profil rond (90°)</t>
  </si>
  <si>
    <t>Profil rond (grand format)</t>
  </si>
  <si>
    <t>Profil rond (Vario)</t>
  </si>
  <si>
    <t>Vis de sécurité pour cache de protection</t>
  </si>
  <si>
    <t>Somme</t>
  </si>
  <si>
    <t>Débris flottants</t>
  </si>
  <si>
    <t>Système d’ancrage, soudé, 300 mm</t>
  </si>
  <si>
    <t>Le fichier Excel ne sera plus valable.</t>
  </si>
  <si>
    <t>Monté en applique</t>
  </si>
  <si>
    <t>Accessoires</t>
  </si>
  <si>
    <t>Somme intermédiaire</t>
  </si>
  <si>
    <t>Longueur du batardeau</t>
  </si>
  <si>
    <t>[E] vide lumière</t>
  </si>
  <si>
    <t>+7.7 % TVA</t>
  </si>
  <si>
    <t>Impact des débris flottants (requiert la saisie de l’angle d’incidence)</t>
  </si>
  <si>
    <t>Partenaire PREFA :</t>
  </si>
  <si>
    <t>Forfait thermolaquage</t>
  </si>
  <si>
    <t>Veuillez sélectionner</t>
  </si>
  <si>
    <t>Douille de sol 50/80 Vario ; aluminium prélaqué, fourni avec couvercle et joint</t>
  </si>
  <si>
    <t>Douille de sol 50/80 Vario ; acier inoxydable prélaqué, fourni avec couvercle et joint</t>
  </si>
  <si>
    <t>Douille de sol 50/80 ; aluminium prélaqué, fourni avec couvercle et joint</t>
  </si>
  <si>
    <t>Douille de sol 50/80 ; acier inoxydable prélaqué, fourni avec couvercle et joint</t>
  </si>
  <si>
    <t>Crochet pour batardeau</t>
  </si>
  <si>
    <t>Joint au sol permanent 25</t>
  </si>
  <si>
    <t>Rouleau de pression 25/50</t>
  </si>
  <si>
    <t>Rouleau de pression 80</t>
  </si>
  <si>
    <t>La validité du présent document expire le 31/12/2022</t>
  </si>
  <si>
    <t>Flèche</t>
  </si>
  <si>
    <t>Email :</t>
  </si>
  <si>
    <t>Somme total sans TVA</t>
  </si>
  <si>
    <t>Somme total avec TVA</t>
  </si>
  <si>
    <t>Sans TVA</t>
  </si>
  <si>
    <t>Frais de déplacement</t>
  </si>
  <si>
    <t>Frais de transport</t>
  </si>
  <si>
    <t>Droit V</t>
  </si>
  <si>
    <t>Profil en applique 25, fourni sans joint, percé et ébavuré</t>
  </si>
  <si>
    <t>Profil en applique 25, longueur personnalisée, fourni sans joint, percé et ébavuré</t>
  </si>
  <si>
    <t>Profil en applique 25, profilés, fourni sans joint, percé et ébavuré</t>
  </si>
  <si>
    <t>Profil en applique 50, fourni sans joint, percé et ébavuré</t>
  </si>
  <si>
    <t>Profil en applique 50, longueur personnalisée, fourni sans joint, percé et ébavuré</t>
  </si>
  <si>
    <t>Profil en applique 50, profilés, fourni sans joint, percé et ébavuré</t>
  </si>
  <si>
    <t>Profil en applique 80, fourni sans joint, percé et ébavuré</t>
  </si>
  <si>
    <t>Profil en applique 80, longueur personnalisée, fourni sans joint, percé et ébavuré</t>
  </si>
  <si>
    <t>Profil en applique 80, profilés, fourni sans joint, percé et ébavuré</t>
  </si>
  <si>
    <t>Cage de protection (élément latéral)</t>
  </si>
  <si>
    <t>Consoles murales pour batardeau :</t>
  </si>
  <si>
    <t>levier</t>
  </si>
  <si>
    <t>Validité de l'offre 1 mois, pour le temps de montage veuillez demandé, sans matériel de fixation</t>
  </si>
  <si>
    <t>TVA comprise</t>
  </si>
  <si>
    <t>aucun(e)</t>
  </si>
  <si>
    <t>Emises à titre indicatif et sans aucun engagement de la part de PREFA en raison des spécificités de chaque système de protection contre les crues et des éventuelles erreurs de saisie des données servant de base aux calculs.</t>
  </si>
  <si>
    <t>Personne de contacte;</t>
  </si>
  <si>
    <t>Numéro de client:</t>
  </si>
  <si>
    <t>Modification de longueur des parties latérales</t>
  </si>
  <si>
    <t>Flèch maximale du batardeau (1/150 = Standard)</t>
  </si>
  <si>
    <t>Flèche maximale du profil rond (1/150 = Standard)</t>
  </si>
  <si>
    <t>Dépassement minimal au-dessus de la hauteur de retenue :</t>
  </si>
  <si>
    <t>Avec débris flottants</t>
  </si>
  <si>
    <t>Matériel de montage</t>
  </si>
  <si>
    <t>T.V.A.</t>
  </si>
  <si>
    <t>Longueur du batardeau pour la commande</t>
  </si>
  <si>
    <t>Formulaire de demande pour la protection contre les crue PREFA</t>
  </si>
  <si>
    <t>Fabrication spéciale</t>
  </si>
  <si>
    <t>Fabrication spéciale (Prix sur demande)</t>
  </si>
  <si>
    <t>Rabais spéciale</t>
  </si>
  <si>
    <t>STATIQUE</t>
  </si>
  <si>
    <t>STATIQUE DES BATARDEAUX</t>
  </si>
  <si>
    <t>STATIQUE DES POTEAUX RONDS</t>
  </si>
  <si>
    <t>pc.</t>
  </si>
  <si>
    <t>Pièce(s)</t>
  </si>
  <si>
    <t xml:space="preserve">jours), </t>
  </si>
  <si>
    <t>Hauteur totale du système de protection anti-crues</t>
  </si>
  <si>
    <t>VS = hauteur totale du système de protection anti-crues</t>
  </si>
  <si>
    <t>Parties latérales (batardeaux)</t>
  </si>
  <si>
    <t>Profil de protection VO</t>
  </si>
  <si>
    <t>Marge supplémentaire :</t>
  </si>
  <si>
    <t>Application technology</t>
  </si>
  <si>
    <t>Dimensioning</t>
  </si>
  <si>
    <t>Name</t>
  </si>
  <si>
    <t>Permanent base seal 25</t>
  </si>
  <si>
    <t>guarnizione a pavimento a lunga durata 25</t>
  </si>
  <si>
    <t>Sealing roller 25/50</t>
  </si>
  <si>
    <t>Sealing roller 80</t>
  </si>
  <si>
    <t>Final total (excl. VAT)</t>
  </si>
  <si>
    <t>Final total (incl. VAT)</t>
  </si>
  <si>
    <t>excl. VAT</t>
  </si>
  <si>
    <t>Travel expenses</t>
  </si>
  <si>
    <t>Company / Purchaser:</t>
  </si>
  <si>
    <t>Side bracket for stop logs</t>
  </si>
  <si>
    <t>Order:</t>
  </si>
  <si>
    <t>Contact person:</t>
  </si>
  <si>
    <t>Customer number:</t>
  </si>
  <si>
    <t>Material quotaion / inquiry</t>
  </si>
  <si>
    <t>Minimum overhead projection:</t>
  </si>
  <si>
    <t>Assembly material</t>
  </si>
  <si>
    <t>City:</t>
  </si>
  <si>
    <t>Phone:</t>
  </si>
  <si>
    <t>Afdækning V 25, afgratet</t>
  </si>
  <si>
    <t>Afdækning VO 25, afgratet</t>
  </si>
  <si>
    <t>Anvendelsesteknik</t>
  </si>
  <si>
    <t>Mål</t>
  </si>
  <si>
    <t>Dæmningsbjælkekrog</t>
  </si>
  <si>
    <t>Dæmningsbjælkelængde:</t>
  </si>
  <si>
    <t>Tætningsvalse 25/50</t>
  </si>
  <si>
    <t>Tætningsvalse 80</t>
  </si>
  <si>
    <t>Slutbeløb eks. moms</t>
  </si>
  <si>
    <t>Slutbeløb inkl. moms</t>
  </si>
  <si>
    <t>Kørselsomkostninger</t>
  </si>
  <si>
    <t>Firma / Bestiller:</t>
  </si>
  <si>
    <t>Fragtpris</t>
  </si>
  <si>
    <t>Holder til dæmningsbjælker sidedel</t>
  </si>
  <si>
    <t>Kundenummer:</t>
  </si>
  <si>
    <t>Mængdeundersøgelse/Forespørgsel</t>
  </si>
  <si>
    <t>Minimum udhæng over vandstand:</t>
  </si>
  <si>
    <t>Monteringsmateriale</t>
  </si>
  <si>
    <t>PREFA HWS SPØRGESKEMA</t>
  </si>
  <si>
    <t/>
  </si>
  <si>
    <t>rosa</t>
  </si>
  <si>
    <t xml:space="preserve">-     Lagerabdeckung_x000D_
</t>
  </si>
  <si>
    <t>Dammbalkenhaken:</t>
  </si>
  <si>
    <t>DAMMBALKENHAKEN</t>
  </si>
  <si>
    <t>Hebehilfe für Bodenhülsendeckel</t>
  </si>
  <si>
    <t>Edelstahl (verriegelbar)</t>
  </si>
  <si>
    <t>unverbindlicher empfohlener Richtpreis.  Gültigkeit ab 21.03.2022</t>
  </si>
  <si>
    <t>03.05.2022</t>
  </si>
  <si>
    <r>
      <t xml:space="preserve">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
Alle PREFA Hochwasserschutzprodukte sind bei unseren PREFA Partnern erhältlich.
Anfragen bitte an: </t>
    </r>
    <r>
      <rPr>
        <b/>
        <sz val="10.5"/>
        <color theme="1"/>
        <rFont val="Calibri"/>
        <family val="2"/>
        <scheme val="minor"/>
      </rPr>
      <t>technik@isotosi.ch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</si>
</sst>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_-* #,##0.00\ _€_-;\-* #,##0.00\ _€_-;_-* &quot;-&quot;??\ _€_-;_-@_-"/>
    <numFmt numFmtId="166" formatCode="0&quot; [mm]&quot;"/>
    <numFmt numFmtId="167" formatCode="_-* #,##0.00000_-;\-* #,##0.00000_-;_-* &quot;-&quot;??_-;_-@_-"/>
    <numFmt numFmtId="168" formatCode="_-* #,##0.00000\ _€_-;\-* #,##0.00000\ _€_-;_-* &quot;-&quot;?????\ _€_-;_-@_-"/>
    <numFmt numFmtId="169" formatCode="_-* #,##0.00\ _D_M_-;\-* #,##0.00\ _D_M_-;_-* &quot;-&quot;??\ _D_M_-;_-@_-"/>
    <numFmt numFmtId="170" formatCode="_-* #,##0.0\ _€_-;\-* #,##0.0\ _€_-;_-* &quot;-&quot;??\ _€_-;_-@_-"/>
    <numFmt numFmtId="171" formatCode="_-* #,##0\ _€_-;\-* #,##0\ _€_-;_-* &quot;-&quot;??\ _€_-;_-@_-"/>
    <numFmt numFmtId="172" formatCode="_-* #,##0.0000\ _€_-;\-* #,##0.0000\ _€_-;_-* &quot;-&quot;??\ _€_-;_-@_-"/>
    <numFmt numFmtId="173" formatCode="0.0"/>
    <numFmt numFmtId="174" formatCode="#&quot; %&quot;"/>
    <numFmt numFmtId="175" formatCode="0\ &quot;mm&quot;"/>
    <numFmt numFmtId="176" formatCode="&quot;€&quot;\ #,##0.00"/>
  </numFmts>
  <fonts count="92">
    <font>
      <sz val="11"/>
      <color theme="1"/>
      <name val="Calibri"/>
      <family val="2"/>
      <scheme val="minor"/>
    </font>
    <font>
      <b/>
      <sz val="11"/>
      <color theme="1"/>
      <name val="Calibri"/>
      <family val="2"/>
      <scheme val="minor"/>
    </font>
    <font>
      <sz val="10"/>
      <color theme="1"/>
      <name val="Calibri"/>
      <family val="2"/>
      <scheme val="minor"/>
    </font>
    <font>
      <b/>
      <sz val="26"/>
      <color rgb="FFFF0000"/>
      <name val="Arial"/>
      <family val="2"/>
    </font>
    <font>
      <sz val="10"/>
      <color theme="1"/>
      <name val="Arial"/>
      <family val="2"/>
    </font>
    <font>
      <sz val="10"/>
      <color theme="0" tint="-0.249977111117893"/>
      <name val="Calibri"/>
      <family val="2"/>
      <scheme val="minor"/>
    </font>
    <font>
      <b/>
      <sz val="12"/>
      <color rgb="FFFF0000"/>
      <name val="Calibri"/>
      <family val="2"/>
      <scheme val="minor"/>
    </font>
    <font>
      <sz val="10"/>
      <name val="Calibri"/>
      <family val="2"/>
      <scheme val="minor"/>
    </font>
    <font>
      <sz val="13"/>
      <color theme="1"/>
      <name val="Arial"/>
      <family val="2"/>
    </font>
    <font>
      <sz val="10"/>
      <name val="Arial"/>
      <family val="2"/>
    </font>
    <font>
      <u/>
      <sz val="11"/>
      <color theme="10"/>
      <name val="Calibri"/>
      <family val="2"/>
      <scheme val="minor"/>
    </font>
    <font>
      <sz val="13"/>
      <color theme="1"/>
      <name val="Calibri"/>
      <family val="2"/>
      <scheme val="minor"/>
    </font>
    <font>
      <sz val="11"/>
      <name val="Calibri"/>
      <family val="2"/>
      <scheme val="minor"/>
    </font>
    <font>
      <sz val="13"/>
      <name val="Calibri"/>
      <family val="2"/>
      <scheme val="minor"/>
    </font>
    <font>
      <sz val="12"/>
      <color theme="1"/>
      <name val="Calibri"/>
      <family val="2"/>
      <scheme val="minor"/>
    </font>
    <font>
      <sz val="11"/>
      <color rgb="FFFFFF00"/>
      <name val="Calibri"/>
      <family val="2"/>
      <scheme val="minor"/>
    </font>
    <font>
      <sz val="11"/>
      <color theme="1"/>
      <name val="Calibri"/>
      <family val="2"/>
    </font>
    <font>
      <vertAlign val="subscript"/>
      <sz val="11"/>
      <name val="Calibri"/>
      <family val="2"/>
      <scheme val="minor"/>
    </font>
    <font>
      <vertAlign val="subscript"/>
      <sz val="11"/>
      <color rgb="FF000000"/>
      <name val="Calibri"/>
      <family val="2"/>
      <scheme val="minor"/>
    </font>
    <font>
      <vertAlign val="subscript"/>
      <sz val="13"/>
      <color rgb="FF000000"/>
      <name val="Calibri"/>
      <family val="2"/>
      <scheme val="minor"/>
    </font>
    <font>
      <sz val="11"/>
      <name val="Arial"/>
      <family val="2"/>
    </font>
    <font>
      <b/>
      <u/>
      <sz val="11"/>
      <name val="Arial"/>
      <family val="2"/>
    </font>
    <font>
      <sz val="13"/>
      <name val="Arial"/>
      <family val="2"/>
    </font>
    <font>
      <u/>
      <sz val="11"/>
      <name val="Calibri"/>
      <family val="2"/>
      <scheme val="minor"/>
    </font>
    <font>
      <b/>
      <sz val="10"/>
      <name val="Arial"/>
      <family val="2"/>
    </font>
    <font>
      <sz val="8"/>
      <name val="Arial"/>
      <family val="2"/>
    </font>
    <font>
      <b/>
      <sz val="20"/>
      <color rgb="FFFF0000"/>
      <name val="Arial"/>
      <family val="2"/>
    </font>
    <font>
      <sz val="11"/>
      <color theme="1"/>
      <name val="Calibri"/>
      <family val="2"/>
      <scheme val="minor"/>
    </font>
    <font>
      <b/>
      <i/>
      <sz val="20"/>
      <color indexed="12"/>
      <name val="Arial"/>
      <family val="2"/>
    </font>
    <font>
      <b/>
      <sz val="18"/>
      <name val="Arial"/>
      <family val="2"/>
    </font>
    <font>
      <b/>
      <i/>
      <sz val="16"/>
      <color indexed="12"/>
      <name val="Arial"/>
      <family val="2"/>
    </font>
    <font>
      <b/>
      <sz val="10"/>
      <color rgb="FFFF0000"/>
      <name val="Arial"/>
      <family val="2"/>
    </font>
    <font>
      <vertAlign val="superscript"/>
      <sz val="10"/>
      <name val="Arial"/>
      <family val="2"/>
    </font>
    <font>
      <vertAlign val="subscript"/>
      <sz val="10"/>
      <name val="Arial"/>
      <family val="2"/>
    </font>
    <font>
      <sz val="10"/>
      <name val="Symbol"/>
      <family val="1"/>
      <charset val="2"/>
    </font>
    <font>
      <sz val="9"/>
      <name val="Arial"/>
      <family val="2"/>
    </font>
    <font>
      <sz val="10"/>
      <color theme="0"/>
      <name val="Arial"/>
      <family val="2"/>
    </font>
    <font>
      <sz val="11"/>
      <color theme="1"/>
      <name val="Arial"/>
      <family val="2"/>
    </font>
    <font>
      <b/>
      <sz val="22"/>
      <color rgb="FFFF0000"/>
      <name val="Arial"/>
      <family val="2"/>
    </font>
    <font>
      <b/>
      <sz val="13"/>
      <color theme="1"/>
      <name val="Arial"/>
      <family val="2"/>
    </font>
    <font>
      <b/>
      <sz val="11"/>
      <name val="Arial"/>
      <family val="2"/>
    </font>
    <font>
      <b/>
      <sz val="12"/>
      <color theme="1"/>
      <name val="Arial"/>
      <family val="2"/>
    </font>
    <font>
      <sz val="12"/>
      <name val="Arial"/>
      <family val="2"/>
    </font>
    <font>
      <b/>
      <u/>
      <sz val="13"/>
      <color theme="1"/>
      <name val="Arial"/>
      <family val="2"/>
    </font>
    <font>
      <sz val="11"/>
      <color theme="0"/>
      <name val="Arial"/>
      <family val="2"/>
    </font>
    <font>
      <sz val="12"/>
      <color theme="1"/>
      <name val="Arial"/>
      <family val="2"/>
    </font>
    <font>
      <b/>
      <sz val="9"/>
      <name val="Arial"/>
      <family val="2"/>
    </font>
    <font>
      <sz val="13"/>
      <color theme="0" tint="-0.34998626667073579"/>
      <name val="Arial"/>
      <family val="2"/>
    </font>
    <font>
      <sz val="13"/>
      <color theme="0" tint="-0.14999847407452621"/>
      <name val="Arial"/>
      <family val="2"/>
    </font>
    <font>
      <sz val="9"/>
      <color theme="1"/>
      <name val="Arial"/>
      <family val="2"/>
    </font>
    <font>
      <sz val="10"/>
      <name val="Slimbach LT"/>
    </font>
    <font>
      <sz val="13"/>
      <color theme="0"/>
      <name val="Arial"/>
      <family val="2"/>
    </font>
    <font>
      <sz val="8"/>
      <color theme="1"/>
      <name val="Arial"/>
      <family val="2"/>
    </font>
    <font>
      <b/>
      <sz val="16"/>
      <color rgb="FFFF0000"/>
      <name val="Arial"/>
      <family val="2"/>
    </font>
    <font>
      <b/>
      <sz val="11"/>
      <color theme="1"/>
      <name val="Arial"/>
      <family val="2"/>
    </font>
    <font>
      <b/>
      <sz val="10"/>
      <name val="Symbol"/>
      <family val="1"/>
      <charset val="2"/>
    </font>
    <font>
      <b/>
      <sz val="20"/>
      <color rgb="FFFF0000"/>
      <name val="Arial Rounded MT Bold"/>
      <family val="2"/>
    </font>
    <font>
      <b/>
      <sz val="20"/>
      <color rgb="FFFF0000"/>
      <name val="Arial Black"/>
      <family val="2"/>
    </font>
    <font>
      <sz val="16"/>
      <color rgb="FFFF0000"/>
      <name val="Arial Black"/>
      <family val="2"/>
    </font>
    <font>
      <sz val="12"/>
      <color indexed="12"/>
      <name val="Arial"/>
      <family val="2"/>
    </font>
    <font>
      <sz val="10"/>
      <color indexed="12"/>
      <name val="Arial"/>
      <family val="2"/>
    </font>
    <font>
      <sz val="16"/>
      <name val="Arial"/>
      <family val="2"/>
    </font>
    <font>
      <sz val="14"/>
      <name val="Arial"/>
      <family val="2"/>
    </font>
    <font>
      <b/>
      <sz val="16"/>
      <name val="Arial"/>
      <family val="2"/>
    </font>
    <font>
      <b/>
      <sz val="16"/>
      <color theme="1"/>
      <name val="Arial"/>
      <family val="2"/>
    </font>
    <font>
      <b/>
      <sz val="20"/>
      <color indexed="12"/>
      <name val="Arial"/>
      <family val="2"/>
    </font>
    <font>
      <sz val="14"/>
      <color indexed="12"/>
      <name val="Arial"/>
      <family val="2"/>
    </font>
    <font>
      <b/>
      <sz val="14"/>
      <color rgb="FFFF0000"/>
      <name val="Arial"/>
      <family val="2"/>
    </font>
    <font>
      <sz val="20"/>
      <name val="Arial"/>
      <family val="2"/>
    </font>
    <font>
      <b/>
      <sz val="14"/>
      <color indexed="12"/>
      <name val="Arial"/>
      <family val="2"/>
    </font>
    <font>
      <sz val="11"/>
      <color theme="0"/>
      <name val="Calibri"/>
      <family val="2"/>
      <scheme val="minor"/>
    </font>
    <font>
      <b/>
      <sz val="10"/>
      <color theme="1"/>
      <name val="Arial"/>
      <family val="2"/>
    </font>
    <font>
      <sz val="10"/>
      <color theme="0"/>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sz val="11"/>
      <color rgb="FF000000"/>
      <name val="Calibri"/>
      <family val="2"/>
      <scheme val="minor"/>
    </font>
    <font>
      <sz val="10.5"/>
      <color theme="1"/>
      <name val="Calibri"/>
      <family val="2"/>
      <scheme val="minor"/>
    </font>
    <font>
      <b/>
      <sz val="10.5"/>
      <color theme="1"/>
      <name val="Calibri"/>
      <family val="2"/>
      <scheme val="minor"/>
    </font>
    <font>
      <b/>
      <sz val="11"/>
      <color theme="1"/>
      <name val="Calibri"/>
      <family val="2"/>
      <charset val="238"/>
      <scheme val="minor"/>
    </font>
    <font>
      <sz val="11"/>
      <color rgb="FF000000"/>
      <name val="Calibri"/>
      <family val="2"/>
      <charset val="238"/>
      <scheme val="minor"/>
    </font>
    <font>
      <sz val="11"/>
      <color rgb="FF000000"/>
      <name val="Calibri"/>
      <family val="2"/>
    </font>
    <font>
      <sz val="16"/>
      <color rgb="FFFFC000"/>
      <name val="Arial"/>
      <family val="2"/>
    </font>
    <font>
      <b/>
      <sz val="12"/>
      <name val="Arial"/>
      <family val="2"/>
    </font>
    <font>
      <sz val="9"/>
      <color theme="0"/>
      <name val="Arial"/>
      <family val="2"/>
    </font>
    <font>
      <sz val="8"/>
      <color theme="1"/>
      <name val="Calibri"/>
      <family val="2"/>
      <scheme val="minor"/>
    </font>
    <font>
      <vertAlign val="subscript"/>
      <sz val="11"/>
      <color theme="1"/>
      <name val="Calibri"/>
      <family val="2"/>
      <scheme val="minor"/>
    </font>
    <font>
      <sz val="11"/>
      <color theme="1"/>
      <name val="Symbol"/>
      <family val="1"/>
      <charset val="2"/>
    </font>
    <font>
      <b/>
      <sz val="11"/>
      <color rgb="FFFF0000"/>
      <name val="Calibri"/>
      <family val="2"/>
      <scheme val="minor"/>
    </font>
    <font>
      <b/>
      <vertAlign val="subscript"/>
      <sz val="14"/>
      <color theme="1"/>
      <name val="Calibri"/>
      <family val="2"/>
      <scheme val="minor"/>
    </font>
    <font>
      <b/>
      <sz val="9"/>
      <color indexed="81"/>
      <name val="Segoe UI"/>
      <family val="2"/>
    </font>
    <font>
      <sz val="9"/>
      <color indexed="81"/>
      <name val="Segoe UI"/>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00B050"/>
        <bgColor indexed="64"/>
      </patternFill>
    </fill>
    <fill>
      <patternFill patternType="solid">
        <fgColor rgb="FFFFCCCC"/>
        <bgColor indexed="64"/>
      </patternFill>
    </fill>
  </fills>
  <borders count="8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style="hair">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style="thin">
        <color indexed="64"/>
      </left>
      <right style="thin">
        <color indexed="64"/>
      </right>
      <top/>
      <bottom/>
      <diagonal/>
    </border>
    <border>
      <left/>
      <right style="hair">
        <color indexed="64"/>
      </right>
      <top style="hair">
        <color indexed="64"/>
      </top>
      <bottom/>
      <diagonal/>
    </border>
    <border>
      <left style="hair">
        <color auto="1"/>
      </left>
      <right style="hair">
        <color auto="1"/>
      </right>
      <top style="hair">
        <color indexed="64"/>
      </top>
      <bottom/>
      <diagonal/>
    </border>
    <border>
      <left style="hair">
        <color auto="1"/>
      </left>
      <right style="thin">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ashed">
        <color theme="0" tint="-0.499984740745262"/>
      </bottom>
      <diagonal/>
    </border>
    <border>
      <left/>
      <right/>
      <top/>
      <bottom style="dashed">
        <color auto="1"/>
      </bottom>
      <diagonal/>
    </border>
    <border>
      <left style="thin">
        <color indexed="64"/>
      </left>
      <right style="medium">
        <color indexed="64"/>
      </right>
      <top/>
      <bottom/>
      <diagonal/>
    </border>
    <border>
      <left/>
      <right style="hair">
        <color indexed="64"/>
      </right>
      <top style="thin">
        <color indexed="64"/>
      </top>
      <bottom/>
      <diagonal/>
    </border>
    <border>
      <left style="hair">
        <color auto="1"/>
      </left>
      <right style="hair">
        <color auto="1"/>
      </right>
      <top style="thin">
        <color indexed="64"/>
      </top>
      <bottom/>
      <diagonal/>
    </border>
    <border>
      <left style="hair">
        <color indexed="64"/>
      </left>
      <right style="thin">
        <color indexed="64"/>
      </right>
      <top style="thin">
        <color indexed="64"/>
      </top>
      <bottom/>
      <diagonal/>
    </border>
    <border>
      <left style="hair">
        <color auto="1"/>
      </left>
      <right style="hair">
        <color auto="1"/>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s>
  <cellStyleXfs count="7">
    <xf numFmtId="0" fontId="0" fillId="0" borderId="0"/>
    <xf numFmtId="0" fontId="10" fillId="0" borderId="0" applyNumberFormat="0" applyFill="0" applyBorder="0" applyAlignment="0" applyProtection="0"/>
    <xf numFmtId="164" fontId="27"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27" fillId="0" borderId="0"/>
  </cellStyleXfs>
  <cellXfs count="1036">
    <xf numFmtId="0" fontId="0" fillId="0" borderId="0" xfId="0"/>
    <xf numFmtId="0" fontId="2" fillId="0" borderId="0" xfId="0" applyFont="1"/>
    <xf numFmtId="0" fontId="4" fillId="0" borderId="1" xfId="0" applyFont="1" applyBorder="1" applyAlignment="1">
      <alignment vertical="center"/>
    </xf>
    <xf numFmtId="0" fontId="4" fillId="0" borderId="2" xfId="0" applyFont="1" applyBorder="1" applyAlignment="1">
      <alignment vertical="center"/>
    </xf>
    <xf numFmtId="0" fontId="2" fillId="0" borderId="3" xfId="0" applyFont="1" applyBorder="1"/>
    <xf numFmtId="0" fontId="5" fillId="0" borderId="3" xfId="0" applyFont="1" applyBorder="1"/>
    <xf numFmtId="0" fontId="2" fillId="0" borderId="1" xfId="0" applyFont="1" applyBorder="1"/>
    <xf numFmtId="0" fontId="2" fillId="0" borderId="2" xfId="0" applyFont="1" applyBorder="1"/>
    <xf numFmtId="1" fontId="2" fillId="0" borderId="0" xfId="0" applyNumberFormat="1" applyFont="1"/>
    <xf numFmtId="0" fontId="6" fillId="0" borderId="0" xfId="0" applyFont="1"/>
    <xf numFmtId="14" fontId="2" fillId="0" borderId="0" xfId="0" applyNumberFormat="1" applyFont="1"/>
    <xf numFmtId="0" fontId="2" fillId="0" borderId="0" xfId="0" applyFont="1" applyAlignment="1">
      <alignment vertical="top" wrapText="1"/>
    </xf>
    <xf numFmtId="0" fontId="2" fillId="2" borderId="4" xfId="0" applyFont="1" applyFill="1" applyBorder="1" applyProtection="1">
      <protection locked="0"/>
    </xf>
    <xf numFmtId="0" fontId="8" fillId="0" borderId="1" xfId="0" applyFont="1" applyBorder="1" applyAlignment="1">
      <alignment vertical="center"/>
    </xf>
    <xf numFmtId="0" fontId="8" fillId="0" borderId="2" xfId="0" applyFont="1" applyBorder="1" applyAlignment="1">
      <alignment horizontal="right" vertical="center"/>
    </xf>
    <xf numFmtId="0" fontId="9" fillId="0" borderId="9" xfId="0" applyFont="1" applyFill="1" applyBorder="1" applyAlignment="1">
      <alignment horizontal="left" vertical="center"/>
    </xf>
    <xf numFmtId="0" fontId="1" fillId="0" borderId="0" xfId="0" applyFont="1" applyAlignment="1">
      <alignment horizontal="left" vertical="center" wrapText="1"/>
    </xf>
    <xf numFmtId="0" fontId="1" fillId="0" borderId="0" xfId="0" applyFont="1" applyFill="1" applyAlignment="1">
      <alignment horizontal="left" vertical="center" wrapText="1"/>
    </xf>
    <xf numFmtId="0" fontId="1" fillId="0" borderId="29" xfId="0" applyFont="1" applyFill="1" applyBorder="1" applyAlignment="1">
      <alignment horizontal="center" wrapText="1"/>
    </xf>
    <xf numFmtId="0" fontId="1" fillId="0" borderId="2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vertical="center" wrapText="1"/>
    </xf>
    <xf numFmtId="0" fontId="0" fillId="0" borderId="0" xfId="0" applyFont="1"/>
    <xf numFmtId="0" fontId="0" fillId="0" borderId="0" xfId="0" applyFill="1"/>
    <xf numFmtId="0" fontId="0" fillId="0" borderId="0" xfId="0" applyFont="1" applyAlignment="1">
      <alignment wrapText="1"/>
    </xf>
    <xf numFmtId="0" fontId="9" fillId="0" borderId="9" xfId="0" applyFont="1" applyFill="1" applyBorder="1" applyAlignment="1">
      <alignment horizontal="right" vertical="center"/>
    </xf>
    <xf numFmtId="0" fontId="9" fillId="0" borderId="9" xfId="0" applyFont="1" applyFill="1" applyBorder="1"/>
    <xf numFmtId="0" fontId="9" fillId="0" borderId="9" xfId="0" applyFont="1" applyFill="1" applyBorder="1" applyAlignment="1">
      <alignment vertical="center"/>
    </xf>
    <xf numFmtId="0" fontId="12" fillId="0" borderId="0" xfId="0" applyFont="1"/>
    <xf numFmtId="0" fontId="20" fillId="0" borderId="0" xfId="0" applyFont="1"/>
    <xf numFmtId="0" fontId="20" fillId="0" borderId="0" xfId="0" applyFont="1" applyAlignment="1">
      <alignment vertical="center"/>
    </xf>
    <xf numFmtId="0" fontId="21" fillId="0" borderId="0" xfId="0" applyFont="1" applyAlignment="1">
      <alignment horizontal="right" vertical="center"/>
    </xf>
    <xf numFmtId="0" fontId="20" fillId="0" borderId="0" xfId="0" applyFont="1" applyAlignment="1">
      <alignment horizontal="right" vertical="center"/>
    </xf>
    <xf numFmtId="0" fontId="9" fillId="0" borderId="8" xfId="0" applyFont="1" applyBorder="1"/>
    <xf numFmtId="0" fontId="9" fillId="0" borderId="10" xfId="0" applyFont="1" applyBorder="1"/>
    <xf numFmtId="0" fontId="12" fillId="0" borderId="10" xfId="0" applyFont="1" applyBorder="1"/>
    <xf numFmtId="0" fontId="9" fillId="0" borderId="11" xfId="0" applyFont="1" applyBorder="1"/>
    <xf numFmtId="0" fontId="7" fillId="0" borderId="12" xfId="0" applyFont="1" applyBorder="1"/>
    <xf numFmtId="0" fontId="9" fillId="0" borderId="12" xfId="0" applyFont="1" applyFill="1" applyBorder="1"/>
    <xf numFmtId="0" fontId="9" fillId="0" borderId="12" xfId="0" applyFont="1" applyFill="1" applyBorder="1" applyAlignment="1">
      <alignment horizontal="left" vertical="center"/>
    </xf>
    <xf numFmtId="0" fontId="9" fillId="0" borderId="13" xfId="0" applyFont="1" applyBorder="1"/>
    <xf numFmtId="0" fontId="9" fillId="0" borderId="0" xfId="0" applyFont="1"/>
    <xf numFmtId="0" fontId="9" fillId="0" borderId="15" xfId="0" applyFont="1" applyBorder="1"/>
    <xf numFmtId="0" fontId="7" fillId="0" borderId="0" xfId="0" applyFont="1" applyBorder="1"/>
    <xf numFmtId="0" fontId="9" fillId="0" borderId="0" xfId="0" applyFont="1" applyFill="1" applyBorder="1"/>
    <xf numFmtId="0" fontId="9" fillId="0" borderId="0" xfId="0" applyFont="1" applyFill="1" applyBorder="1" applyAlignment="1">
      <alignment horizontal="left" vertical="center"/>
    </xf>
    <xf numFmtId="0" fontId="9" fillId="2" borderId="16" xfId="0" applyFont="1" applyFill="1" applyBorder="1" applyAlignment="1" applyProtection="1">
      <alignment horizontal="center" vertical="center"/>
      <protection locked="0"/>
    </xf>
    <xf numFmtId="0" fontId="9" fillId="0" borderId="0" xfId="0" applyFont="1" applyBorder="1"/>
    <xf numFmtId="0" fontId="9" fillId="0" borderId="24" xfId="0" applyFont="1" applyBorder="1" applyAlignment="1"/>
    <xf numFmtId="0" fontId="12" fillId="0" borderId="0" xfId="0" applyFont="1" applyFill="1"/>
    <xf numFmtId="0" fontId="9" fillId="0" borderId="0" xfId="0" applyFont="1" applyBorder="1" applyAlignment="1">
      <alignment horizontal="center"/>
    </xf>
    <xf numFmtId="0" fontId="9" fillId="0" borderId="8" xfId="0" applyFont="1" applyFill="1" applyBorder="1"/>
    <xf numFmtId="0" fontId="9" fillId="0" borderId="9" xfId="0" applyFont="1" applyBorder="1" applyAlignment="1">
      <alignment vertical="top"/>
    </xf>
    <xf numFmtId="0" fontId="9" fillId="0" borderId="9" xfId="0" applyFont="1" applyBorder="1" applyAlignment="1"/>
    <xf numFmtId="0" fontId="12" fillId="0" borderId="9" xfId="0" applyFont="1" applyBorder="1"/>
    <xf numFmtId="0" fontId="12" fillId="0" borderId="0" xfId="0" applyFont="1" applyAlignment="1">
      <alignment horizontal="center" vertical="center"/>
    </xf>
    <xf numFmtId="0" fontId="9" fillId="0" borderId="15" xfId="0" applyFont="1" applyFill="1" applyBorder="1"/>
    <xf numFmtId="0" fontId="9" fillId="0" borderId="0" xfId="0" applyFont="1" applyBorder="1" applyAlignment="1"/>
    <xf numFmtId="0" fontId="9" fillId="0" borderId="19" xfId="0" applyFont="1" applyBorder="1"/>
    <xf numFmtId="0" fontId="9" fillId="0" borderId="9" xfId="0" applyFont="1" applyFill="1" applyBorder="1" applyAlignment="1"/>
    <xf numFmtId="0" fontId="9" fillId="0" borderId="21" xfId="0" applyFont="1" applyFill="1" applyBorder="1" applyAlignment="1"/>
    <xf numFmtId="0" fontId="9" fillId="0" borderId="6" xfId="0" applyFont="1" applyFill="1" applyBorder="1" applyAlignment="1"/>
    <xf numFmtId="0" fontId="9" fillId="0" borderId="6" xfId="0" applyFont="1" applyFill="1" applyBorder="1" applyAlignment="1">
      <alignment horizontal="right"/>
    </xf>
    <xf numFmtId="0" fontId="9" fillId="0" borderId="6" xfId="0" applyFont="1" applyFill="1" applyBorder="1" applyAlignment="1" applyProtection="1">
      <alignment horizontal="center" vertical="center"/>
      <protection locked="0"/>
    </xf>
    <xf numFmtId="0" fontId="9" fillId="0" borderId="0" xfId="0" applyFont="1" applyFill="1"/>
    <xf numFmtId="0" fontId="9" fillId="2" borderId="24" xfId="0" applyFont="1" applyFill="1" applyBorder="1" applyAlignment="1" applyProtection="1">
      <alignment horizontal="center" vertical="center"/>
      <protection locked="0"/>
    </xf>
    <xf numFmtId="0" fontId="9" fillId="0" borderId="12" xfId="0" applyFont="1" applyBorder="1"/>
    <xf numFmtId="0" fontId="24" fillId="0" borderId="0" xfId="0" applyFont="1"/>
    <xf numFmtId="0" fontId="9" fillId="0" borderId="24" xfId="0" applyFont="1" applyFill="1" applyBorder="1" applyAlignment="1"/>
    <xf numFmtId="0" fontId="9" fillId="0" borderId="24" xfId="0" applyFont="1" applyFill="1" applyBorder="1" applyAlignment="1">
      <alignment horizontal="right"/>
    </xf>
    <xf numFmtId="0" fontId="9" fillId="0" borderId="12" xfId="0" applyFont="1" applyFill="1" applyBorder="1" applyAlignment="1"/>
    <xf numFmtId="0" fontId="9" fillId="0" borderId="8"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0" fontId="9" fillId="0" borderId="0" xfId="0" quotePrefix="1" applyFont="1" applyAlignment="1">
      <alignment horizontal="left"/>
    </xf>
    <xf numFmtId="0" fontId="9" fillId="0" borderId="0" xfId="0" applyFont="1" applyAlignment="1">
      <alignment horizontal="left"/>
    </xf>
    <xf numFmtId="0" fontId="9" fillId="0" borderId="0" xfId="0" quotePrefix="1" applyFont="1" applyAlignment="1">
      <alignment horizontal="center"/>
    </xf>
    <xf numFmtId="0" fontId="9" fillId="0" borderId="15" xfId="0" applyFont="1" applyBorder="1" applyAlignment="1">
      <alignment horizontal="left"/>
    </xf>
    <xf numFmtId="0" fontId="9" fillId="0" borderId="0" xfId="0" applyFont="1" applyBorder="1" applyAlignment="1">
      <alignment horizontal="left"/>
    </xf>
    <xf numFmtId="0" fontId="9" fillId="0" borderId="19" xfId="0" applyFont="1" applyBorder="1" applyAlignment="1">
      <alignment horizontal="left"/>
    </xf>
    <xf numFmtId="0" fontId="9" fillId="0" borderId="0" xfId="0" quotePrefix="1" applyFont="1" applyAlignment="1"/>
    <xf numFmtId="0" fontId="9" fillId="0" borderId="0" xfId="0" applyFont="1" applyAlignment="1">
      <alignment horizontal="center"/>
    </xf>
    <xf numFmtId="0" fontId="9" fillId="0" borderId="0" xfId="0" quotePrefix="1" applyFont="1"/>
    <xf numFmtId="0" fontId="9" fillId="0" borderId="0" xfId="0" quotePrefix="1" applyFont="1" applyBorder="1" applyAlignment="1">
      <alignment horizontal="left"/>
    </xf>
    <xf numFmtId="0" fontId="9" fillId="0" borderId="0" xfId="0" quotePrefix="1" applyFont="1" applyBorder="1"/>
    <xf numFmtId="0" fontId="9" fillId="0" borderId="0" xfId="0" quotePrefix="1" applyFont="1" applyBorder="1" applyAlignment="1"/>
    <xf numFmtId="0" fontId="9" fillId="0" borderId="0" xfId="0" applyFont="1" applyAlignment="1">
      <alignment wrapText="1"/>
    </xf>
    <xf numFmtId="0" fontId="9" fillId="0" borderId="0" xfId="0" quotePrefix="1" applyFont="1" applyBorder="1" applyAlignment="1">
      <alignment wrapText="1"/>
    </xf>
    <xf numFmtId="0" fontId="9" fillId="0" borderId="0" xfId="0" applyFont="1" applyAlignment="1">
      <alignment vertical="center" wrapText="1"/>
    </xf>
    <xf numFmtId="0" fontId="9" fillId="0" borderId="0" xfId="0" applyFont="1" applyBorder="1" applyAlignment="1">
      <alignment horizont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Fill="1" applyBorder="1" applyAlignment="1">
      <alignment horizontal="center" vertical="center"/>
    </xf>
    <xf numFmtId="0" fontId="9" fillId="0" borderId="0" xfId="0" applyFont="1" applyFill="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2" fillId="0" borderId="8" xfId="0" applyFont="1" applyBorder="1"/>
    <xf numFmtId="0" fontId="26" fillId="0" borderId="0" xfId="0" applyFont="1" applyAlignment="1">
      <alignment horizontal="right"/>
    </xf>
    <xf numFmtId="1" fontId="9" fillId="0" borderId="0" xfId="0" applyNumberFormat="1" applyFont="1" applyFill="1" applyBorder="1" applyAlignment="1">
      <alignment horizontal="right" vertical="center" wrapText="1"/>
    </xf>
    <xf numFmtId="1" fontId="9" fillId="0" borderId="0" xfId="0" applyNumberFormat="1" applyFont="1" applyFill="1" applyBorder="1" applyAlignment="1">
      <alignment horizontal="left" vertical="center" wrapText="1"/>
    </xf>
    <xf numFmtId="1" fontId="9" fillId="0" borderId="0" xfId="0" applyNumberFormat="1" applyFont="1" applyFill="1" applyBorder="1"/>
    <xf numFmtId="0" fontId="28" fillId="0" borderId="0" xfId="0" applyFont="1" applyBorder="1" applyProtection="1"/>
    <xf numFmtId="0" fontId="9" fillId="0" borderId="0" xfId="0" applyFont="1" applyProtection="1"/>
    <xf numFmtId="0" fontId="9" fillId="0" borderId="0" xfId="0" applyFont="1" applyAlignment="1" applyProtection="1">
      <alignment horizontal="center" vertical="center"/>
    </xf>
    <xf numFmtId="0" fontId="0" fillId="0" borderId="0" xfId="0" applyProtection="1"/>
    <xf numFmtId="0" fontId="9" fillId="0" borderId="0" xfId="0" applyFont="1" applyFill="1" applyProtection="1"/>
    <xf numFmtId="0" fontId="9" fillId="0" borderId="0" xfId="0" applyFont="1" applyAlignment="1" applyProtection="1">
      <alignment horizontal="right"/>
      <protection locked="0"/>
    </xf>
    <xf numFmtId="0" fontId="29" fillId="0" borderId="0" xfId="0" applyFont="1" applyAlignment="1" applyProtection="1">
      <alignment horizontal="center"/>
      <protection locked="0"/>
    </xf>
    <xf numFmtId="0" fontId="29" fillId="0" borderId="0" xfId="0" applyFont="1" applyAlignment="1" applyProtection="1">
      <alignment horizontal="center"/>
    </xf>
    <xf numFmtId="0" fontId="0" fillId="0" borderId="40" xfId="0" applyBorder="1" applyProtection="1"/>
    <xf numFmtId="0" fontId="28" fillId="0" borderId="41" xfId="0" applyFont="1" applyBorder="1" applyProtection="1"/>
    <xf numFmtId="0" fontId="0" fillId="0" borderId="41" xfId="0" applyBorder="1" applyProtection="1"/>
    <xf numFmtId="0" fontId="9" fillId="0" borderId="41" xfId="0" applyFont="1" applyBorder="1" applyProtection="1"/>
    <xf numFmtId="0" fontId="9" fillId="0" borderId="42" xfId="0" applyFont="1" applyFill="1" applyBorder="1" applyProtection="1"/>
    <xf numFmtId="0" fontId="9" fillId="0" borderId="0" xfId="0" applyFont="1" applyProtection="1">
      <protection locked="0"/>
    </xf>
    <xf numFmtId="0" fontId="0" fillId="0" borderId="43" xfId="0" applyBorder="1" applyProtection="1"/>
    <xf numFmtId="0" fontId="0" fillId="0" borderId="0" xfId="0" applyBorder="1" applyProtection="1"/>
    <xf numFmtId="0" fontId="9" fillId="0" borderId="0" xfId="0" applyFont="1" applyBorder="1" applyProtection="1"/>
    <xf numFmtId="0" fontId="9" fillId="0" borderId="44" xfId="0" applyFont="1" applyFill="1" applyBorder="1" applyProtection="1"/>
    <xf numFmtId="0" fontId="30" fillId="0" borderId="43" xfId="0" applyFont="1" applyBorder="1" applyAlignment="1" applyProtection="1">
      <alignment horizontal="right"/>
    </xf>
    <xf numFmtId="0" fontId="0" fillId="0" borderId="0" xfId="0" applyBorder="1" applyAlignment="1" applyProtection="1"/>
    <xf numFmtId="0" fontId="30" fillId="0" borderId="0" xfId="0" applyFont="1" applyBorder="1" applyAlignment="1" applyProtection="1">
      <alignment horizontal="right"/>
    </xf>
    <xf numFmtId="0" fontId="0" fillId="0" borderId="43" xfId="0" applyBorder="1" applyAlignment="1" applyProtection="1">
      <alignment horizontal="right"/>
    </xf>
    <xf numFmtId="0" fontId="9" fillId="0" borderId="0" xfId="0" applyFont="1" applyBorder="1" applyAlignment="1" applyProtection="1">
      <alignment horizontal="right"/>
    </xf>
    <xf numFmtId="2" fontId="0" fillId="6" borderId="0" xfId="0" applyNumberFormat="1" applyFill="1" applyBorder="1" applyProtection="1">
      <protection locked="0"/>
    </xf>
    <xf numFmtId="0" fontId="9" fillId="0" borderId="44" xfId="0" applyFont="1" applyBorder="1" applyProtection="1"/>
    <xf numFmtId="0" fontId="9" fillId="0" borderId="43" xfId="0" applyFont="1" applyBorder="1" applyAlignment="1" applyProtection="1">
      <alignment horizontal="right"/>
    </xf>
    <xf numFmtId="0" fontId="0" fillId="7" borderId="0" xfId="0" applyFill="1" applyBorder="1" applyProtection="1"/>
    <xf numFmtId="0" fontId="9" fillId="0" borderId="0" xfId="0" applyFont="1" applyAlignment="1" applyProtection="1">
      <alignment horizontal="center"/>
    </xf>
    <xf numFmtId="2" fontId="9" fillId="0" borderId="0" xfId="0" applyNumberFormat="1" applyFont="1" applyProtection="1">
      <protection locked="0"/>
    </xf>
    <xf numFmtId="2" fontId="9" fillId="0" borderId="0" xfId="0" applyNumberFormat="1" applyFont="1" applyProtection="1"/>
    <xf numFmtId="2" fontId="0" fillId="7" borderId="0" xfId="0" applyNumberFormat="1" applyFill="1" applyBorder="1" applyProtection="1"/>
    <xf numFmtId="0" fontId="0" fillId="6" borderId="0" xfId="0" applyFill="1" applyBorder="1" applyProtection="1">
      <protection locked="0"/>
    </xf>
    <xf numFmtId="0" fontId="9" fillId="5" borderId="45" xfId="0" applyFont="1" applyFill="1" applyBorder="1" applyAlignment="1" applyProtection="1">
      <alignment horizontal="right"/>
    </xf>
    <xf numFmtId="167" fontId="9" fillId="5" borderId="12" xfId="2" applyNumberFormat="1" applyFont="1" applyFill="1" applyBorder="1" applyProtection="1"/>
    <xf numFmtId="0" fontId="9" fillId="5" borderId="12" xfId="0" applyFont="1" applyFill="1" applyBorder="1" applyProtection="1"/>
    <xf numFmtId="0" fontId="0" fillId="0" borderId="12" xfId="0" applyBorder="1" applyProtection="1"/>
    <xf numFmtId="0" fontId="9" fillId="0" borderId="12" xfId="0" applyFont="1" applyBorder="1" applyProtection="1"/>
    <xf numFmtId="0" fontId="9" fillId="0" borderId="46" xfId="0" applyFont="1" applyFill="1" applyBorder="1" applyProtection="1"/>
    <xf numFmtId="0" fontId="0" fillId="0" borderId="0" xfId="0" applyAlignment="1" applyProtection="1">
      <alignment horizontal="center"/>
    </xf>
    <xf numFmtId="167" fontId="4" fillId="0" borderId="0" xfId="2" applyNumberFormat="1" applyFont="1"/>
    <xf numFmtId="0" fontId="0" fillId="0" borderId="0" xfId="0" applyBorder="1"/>
    <xf numFmtId="11" fontId="9" fillId="0" borderId="0" xfId="0" applyNumberFormat="1" applyFont="1" applyBorder="1" applyProtection="1"/>
    <xf numFmtId="168" fontId="0" fillId="0" borderId="0" xfId="0" applyNumberFormat="1"/>
    <xf numFmtId="170" fontId="9" fillId="0" borderId="0" xfId="3" applyNumberFormat="1" applyFont="1" applyProtection="1">
      <protection locked="0"/>
    </xf>
    <xf numFmtId="170" fontId="9" fillId="0" borderId="0" xfId="3" applyNumberFormat="1" applyFont="1" applyProtection="1"/>
    <xf numFmtId="0" fontId="0" fillId="0" borderId="0" xfId="0" applyBorder="1" applyAlignment="1" applyProtection="1">
      <alignment horizontal="center"/>
    </xf>
    <xf numFmtId="0" fontId="9" fillId="0" borderId="0" xfId="0" applyFont="1" applyFill="1" applyProtection="1">
      <protection locked="0"/>
    </xf>
    <xf numFmtId="11" fontId="0" fillId="0" borderId="0" xfId="0" applyNumberFormat="1" applyBorder="1" applyProtection="1"/>
    <xf numFmtId="2" fontId="9" fillId="0" borderId="0" xfId="0" applyNumberFormat="1" applyFont="1" applyFill="1" applyProtection="1">
      <protection locked="0"/>
    </xf>
    <xf numFmtId="2" fontId="9" fillId="0" borderId="0" xfId="0" applyNumberFormat="1" applyFont="1" applyFill="1" applyProtection="1"/>
    <xf numFmtId="2" fontId="0" fillId="0" borderId="0" xfId="0" applyNumberFormat="1" applyBorder="1" applyAlignment="1" applyProtection="1">
      <alignment horizontal="center"/>
    </xf>
    <xf numFmtId="0" fontId="9" fillId="0" borderId="0" xfId="0" applyFont="1" applyBorder="1" applyAlignment="1" applyProtection="1">
      <alignment horizontal="center"/>
    </xf>
    <xf numFmtId="171" fontId="9" fillId="0" borderId="0" xfId="3" applyNumberFormat="1" applyFont="1" applyFill="1" applyProtection="1">
      <protection locked="0"/>
    </xf>
    <xf numFmtId="171" fontId="9" fillId="0" borderId="0" xfId="3" applyNumberFormat="1" applyFont="1" applyFill="1" applyProtection="1"/>
    <xf numFmtId="171" fontId="9" fillId="4" borderId="0" xfId="3" applyNumberFormat="1" applyFont="1" applyFill="1" applyProtection="1"/>
    <xf numFmtId="172" fontId="0" fillId="0" borderId="0" xfId="0" applyNumberFormat="1" applyProtection="1"/>
    <xf numFmtId="171" fontId="9" fillId="0" borderId="0" xfId="3" applyNumberFormat="1" applyFont="1" applyProtection="1"/>
    <xf numFmtId="0" fontId="0" fillId="0" borderId="0" xfId="0" applyFill="1" applyProtection="1"/>
    <xf numFmtId="0" fontId="0" fillId="0" borderId="0" xfId="0" applyFont="1" applyProtection="1"/>
    <xf numFmtId="0" fontId="31" fillId="0" borderId="0" xfId="0" applyFont="1" applyBorder="1" applyAlignment="1" applyProtection="1">
      <alignment horizontal="center"/>
    </xf>
    <xf numFmtId="0" fontId="0" fillId="0" borderId="8" xfId="0" applyBorder="1"/>
    <xf numFmtId="0" fontId="0" fillId="0" borderId="9" xfId="0" applyBorder="1"/>
    <xf numFmtId="0" fontId="0" fillId="0" borderId="10" xfId="0" applyBorder="1"/>
    <xf numFmtId="0" fontId="0" fillId="0" borderId="15" xfId="0" applyBorder="1" applyAlignment="1" applyProtection="1">
      <alignment horizontal="center"/>
    </xf>
    <xf numFmtId="0" fontId="0" fillId="0" borderId="0" xfId="0" applyFill="1" applyBorder="1" applyAlignment="1" applyProtection="1">
      <alignment horizontal="center"/>
    </xf>
    <xf numFmtId="0" fontId="9" fillId="0" borderId="19" xfId="0" applyFont="1" applyFill="1" applyBorder="1" applyAlignment="1" applyProtection="1">
      <alignment horizontal="center"/>
    </xf>
    <xf numFmtId="0" fontId="0" fillId="0" borderId="15" xfId="0" applyFill="1" applyBorder="1" applyAlignment="1" applyProtection="1">
      <alignment horizontal="center"/>
    </xf>
    <xf numFmtId="0" fontId="9" fillId="0" borderId="0" xfId="0" applyFont="1" applyFill="1" applyBorder="1" applyAlignment="1" applyProtection="1">
      <alignment horizontal="center"/>
    </xf>
    <xf numFmtId="0" fontId="0" fillId="0" borderId="11" xfId="0" applyFill="1" applyBorder="1" applyAlignment="1" applyProtection="1">
      <alignment horizontal="center"/>
    </xf>
    <xf numFmtId="0" fontId="0" fillId="0" borderId="12" xfId="0" applyFill="1" applyBorder="1" applyAlignment="1" applyProtection="1">
      <alignment horizontal="center"/>
    </xf>
    <xf numFmtId="2" fontId="0" fillId="0" borderId="12" xfId="0" applyNumberFormat="1" applyFill="1" applyBorder="1" applyAlignment="1" applyProtection="1">
      <alignment horizontal="center"/>
    </xf>
    <xf numFmtId="3" fontId="0" fillId="0" borderId="12" xfId="0" applyNumberFormat="1" applyFill="1" applyBorder="1" applyAlignment="1" applyProtection="1">
      <alignment horizontal="center"/>
    </xf>
    <xf numFmtId="3" fontId="0" fillId="0" borderId="13" xfId="0" applyNumberFormat="1" applyFill="1" applyBorder="1" applyAlignment="1" applyProtection="1">
      <alignment horizontal="center"/>
    </xf>
    <xf numFmtId="2" fontId="0" fillId="0" borderId="0" xfId="0" applyNumberFormat="1" applyFill="1" applyBorder="1" applyAlignment="1" applyProtection="1">
      <alignment horizontal="center"/>
    </xf>
    <xf numFmtId="3" fontId="0" fillId="0" borderId="0" xfId="0" applyNumberFormat="1" applyFill="1" applyBorder="1" applyAlignment="1" applyProtection="1">
      <alignment horizontal="center"/>
    </xf>
    <xf numFmtId="0" fontId="0" fillId="0" borderId="0" xfId="0" applyAlignment="1">
      <alignment horizontal="center"/>
    </xf>
    <xf numFmtId="0" fontId="9" fillId="8" borderId="0" xfId="0" applyFont="1" applyFill="1" applyBorder="1" applyAlignment="1" applyProtection="1">
      <alignment horizontal="center"/>
    </xf>
    <xf numFmtId="0" fontId="0" fillId="0" borderId="0" xfId="0" applyBorder="1" applyAlignment="1">
      <alignment horizontal="center"/>
    </xf>
    <xf numFmtId="0" fontId="9" fillId="9" borderId="0" xfId="0" applyFont="1" applyFill="1" applyBorder="1" applyAlignment="1" applyProtection="1">
      <alignment horizontal="center"/>
    </xf>
    <xf numFmtId="0" fontId="9" fillId="10" borderId="0" xfId="0" applyFont="1" applyFill="1" applyBorder="1" applyAlignment="1" applyProtection="1">
      <alignment horizontal="center"/>
    </xf>
    <xf numFmtId="0" fontId="0" fillId="0" borderId="0" xfId="0" applyFill="1" applyBorder="1" applyAlignment="1">
      <alignment horizontal="center"/>
    </xf>
    <xf numFmtId="173" fontId="0" fillId="0" borderId="0" xfId="0" applyNumberFormat="1" applyAlignment="1">
      <alignment horizontal="center"/>
    </xf>
    <xf numFmtId="0" fontId="0" fillId="0" borderId="8" xfId="0" applyBorder="1" applyAlignment="1">
      <alignment horizontal="center" vertical="center"/>
    </xf>
    <xf numFmtId="0" fontId="0" fillId="11" borderId="9" xfId="0" applyFill="1" applyBorder="1" applyAlignment="1">
      <alignment horizontal="center"/>
    </xf>
    <xf numFmtId="2" fontId="4" fillId="0" borderId="9" xfId="0" applyNumberFormat="1" applyFont="1" applyFill="1" applyBorder="1" applyAlignment="1" applyProtection="1">
      <alignment horizontal="center"/>
    </xf>
    <xf numFmtId="2" fontId="0" fillId="0" borderId="9" xfId="0" applyNumberFormat="1" applyFill="1" applyBorder="1" applyAlignment="1" applyProtection="1">
      <alignment horizontal="center"/>
    </xf>
    <xf numFmtId="173" fontId="4" fillId="0" borderId="9" xfId="0" applyNumberFormat="1" applyFont="1" applyFill="1" applyBorder="1" applyAlignment="1" applyProtection="1">
      <alignment horizontal="center"/>
    </xf>
    <xf numFmtId="2" fontId="0" fillId="0" borderId="9" xfId="0" applyNumberFormat="1" applyFill="1" applyBorder="1" applyAlignment="1">
      <alignment horizontal="center"/>
    </xf>
    <xf numFmtId="1" fontId="4" fillId="0" borderId="9" xfId="0" applyNumberFormat="1" applyFont="1" applyFill="1" applyBorder="1" applyAlignment="1" applyProtection="1">
      <alignment horizontal="center"/>
    </xf>
    <xf numFmtId="173" fontId="9" fillId="0" borderId="9" xfId="0" applyNumberFormat="1" applyFont="1" applyFill="1" applyBorder="1" applyAlignment="1" applyProtection="1">
      <alignment horizontal="center"/>
      <protection locked="0"/>
    </xf>
    <xf numFmtId="0" fontId="0" fillId="0" borderId="15" xfId="0" applyBorder="1" applyAlignment="1">
      <alignment horizontal="center" vertical="center"/>
    </xf>
    <xf numFmtId="0" fontId="0" fillId="11" borderId="0" xfId="0" applyFill="1" applyBorder="1" applyAlignment="1">
      <alignment horizontal="center"/>
    </xf>
    <xf numFmtId="2" fontId="4" fillId="0" borderId="0" xfId="0" applyNumberFormat="1" applyFont="1" applyFill="1" applyBorder="1" applyAlignment="1" applyProtection="1">
      <alignment horizontal="center"/>
    </xf>
    <xf numFmtId="173" fontId="4" fillId="0" borderId="0" xfId="0" applyNumberFormat="1" applyFont="1" applyFill="1" applyBorder="1" applyAlignment="1" applyProtection="1">
      <alignment horizontal="center"/>
    </xf>
    <xf numFmtId="2" fontId="0" fillId="0" borderId="0" xfId="0" applyNumberFormat="1" applyFill="1" applyBorder="1" applyAlignment="1">
      <alignment horizontal="center"/>
    </xf>
    <xf numFmtId="1" fontId="4" fillId="0" borderId="0" xfId="0" applyNumberFormat="1" applyFont="1" applyFill="1" applyBorder="1" applyAlignment="1" applyProtection="1">
      <alignment horizontal="center"/>
    </xf>
    <xf numFmtId="173" fontId="9" fillId="0" borderId="0" xfId="0" applyNumberFormat="1" applyFont="1" applyFill="1" applyBorder="1" applyAlignment="1" applyProtection="1">
      <alignment horizontal="center"/>
      <protection locked="0"/>
    </xf>
    <xf numFmtId="0" fontId="0" fillId="0" borderId="9" xfId="0" applyFill="1" applyBorder="1" applyAlignment="1" applyProtection="1">
      <alignment horizontal="center"/>
    </xf>
    <xf numFmtId="2" fontId="1" fillId="0" borderId="9" xfId="0" applyNumberFormat="1" applyFont="1" applyFill="1" applyBorder="1" applyAlignment="1" applyProtection="1">
      <alignment horizontal="center"/>
    </xf>
    <xf numFmtId="0" fontId="0" fillId="0" borderId="11" xfId="0" applyBorder="1" applyAlignment="1">
      <alignment horizontal="center" vertical="center"/>
    </xf>
    <xf numFmtId="2" fontId="4" fillId="0" borderId="12" xfId="0" applyNumberFormat="1" applyFont="1" applyFill="1" applyBorder="1" applyAlignment="1" applyProtection="1">
      <alignment horizontal="center"/>
    </xf>
    <xf numFmtId="173" fontId="4" fillId="0" borderId="12" xfId="0" applyNumberFormat="1" applyFont="1" applyFill="1" applyBorder="1" applyAlignment="1" applyProtection="1">
      <alignment horizontal="center"/>
    </xf>
    <xf numFmtId="2" fontId="0" fillId="0" borderId="12" xfId="0" applyNumberFormat="1" applyFill="1" applyBorder="1" applyAlignment="1">
      <alignment horizontal="center"/>
    </xf>
    <xf numFmtId="1" fontId="4" fillId="0" borderId="12" xfId="0" applyNumberFormat="1" applyFont="1" applyFill="1" applyBorder="1" applyAlignment="1" applyProtection="1">
      <alignment horizontal="center"/>
    </xf>
    <xf numFmtId="173" fontId="9" fillId="0" borderId="12" xfId="0" applyNumberFormat="1" applyFont="1" applyFill="1" applyBorder="1" applyAlignment="1" applyProtection="1">
      <alignment horizontal="center"/>
      <protection locked="0"/>
    </xf>
    <xf numFmtId="2" fontId="1" fillId="0" borderId="12" xfId="0" applyNumberFormat="1" applyFont="1" applyFill="1" applyBorder="1" applyAlignment="1" applyProtection="1">
      <alignment horizontal="center"/>
    </xf>
    <xf numFmtId="0" fontId="0" fillId="0" borderId="0" xfId="0" applyBorder="1" applyAlignment="1">
      <alignment horizontal="center" vertical="center"/>
    </xf>
    <xf numFmtId="0" fontId="9" fillId="0" borderId="15" xfId="0" applyFont="1" applyBorder="1" applyAlignment="1" applyProtection="1">
      <alignment horizontal="center" vertical="center"/>
    </xf>
    <xf numFmtId="0" fontId="9"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19" xfId="0" applyBorder="1" applyAlignment="1" applyProtection="1">
      <alignment horizontal="center" vertical="center"/>
    </xf>
    <xf numFmtId="0" fontId="9" fillId="0" borderId="15"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0" fillId="0" borderId="19" xfId="0" applyFill="1" applyBorder="1" applyAlignment="1" applyProtection="1">
      <alignment horizontal="center" vertical="center"/>
    </xf>
    <xf numFmtId="0" fontId="9" fillId="0" borderId="11" xfId="0" applyFont="1" applyFill="1" applyBorder="1" applyAlignment="1" applyProtection="1">
      <alignment horizontal="center" vertical="center"/>
    </xf>
    <xf numFmtId="3" fontId="0" fillId="0" borderId="12" xfId="0" applyNumberFormat="1" applyFill="1" applyBorder="1" applyAlignment="1" applyProtection="1">
      <alignment horizontal="center" vertical="center"/>
    </xf>
    <xf numFmtId="2" fontId="9" fillId="0" borderId="12" xfId="0" applyNumberFormat="1" applyFont="1" applyFill="1" applyBorder="1" applyAlignment="1" applyProtection="1">
      <alignment horizontal="center" vertical="center"/>
    </xf>
    <xf numFmtId="3" fontId="0" fillId="0" borderId="13" xfId="0" applyNumberFormat="1" applyFill="1" applyBorder="1" applyAlignment="1" applyProtection="1">
      <alignment horizontal="center" vertical="center"/>
    </xf>
    <xf numFmtId="2" fontId="4" fillId="0" borderId="9" xfId="0" applyNumberFormat="1" applyFont="1" applyFill="1" applyBorder="1" applyAlignment="1" applyProtection="1">
      <alignment horizontal="center" vertical="center"/>
    </xf>
    <xf numFmtId="2" fontId="0" fillId="0" borderId="9" xfId="0" applyNumberFormat="1" applyFill="1" applyBorder="1" applyAlignment="1" applyProtection="1">
      <alignment horizontal="center" vertical="center"/>
    </xf>
    <xf numFmtId="2" fontId="9" fillId="0" borderId="9" xfId="0" applyNumberFormat="1" applyFont="1" applyFill="1" applyBorder="1" applyAlignment="1" applyProtection="1">
      <alignment horizontal="center" vertical="center"/>
      <protection locked="0"/>
    </xf>
    <xf numFmtId="2" fontId="4" fillId="0" borderId="0" xfId="0" applyNumberFormat="1" applyFont="1" applyFill="1" applyBorder="1" applyAlignment="1" applyProtection="1">
      <alignment horizontal="center" vertical="center"/>
    </xf>
    <xf numFmtId="2" fontId="0" fillId="0" borderId="0" xfId="0" applyNumberFormat="1" applyFill="1" applyBorder="1" applyAlignment="1" applyProtection="1">
      <alignment horizontal="center" vertical="center"/>
    </xf>
    <xf numFmtId="2" fontId="9" fillId="0" borderId="0" xfId="0" applyNumberFormat="1" applyFont="1" applyFill="1" applyBorder="1" applyAlignment="1" applyProtection="1">
      <alignment horizontal="center" vertical="center"/>
      <protection locked="0"/>
    </xf>
    <xf numFmtId="2" fontId="4" fillId="0" borderId="12" xfId="0" applyNumberFormat="1" applyFont="1" applyFill="1" applyBorder="1" applyAlignment="1" applyProtection="1">
      <alignment horizontal="center" vertical="center"/>
    </xf>
    <xf numFmtId="2" fontId="0" fillId="0" borderId="12" xfId="0" applyNumberFormat="1" applyFill="1" applyBorder="1" applyAlignment="1" applyProtection="1">
      <alignment horizontal="center" vertical="center"/>
    </xf>
    <xf numFmtId="2" fontId="9" fillId="0" borderId="12"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9" xfId="0" applyFill="1" applyBorder="1" applyAlignment="1">
      <alignment horizontal="center"/>
    </xf>
    <xf numFmtId="173" fontId="0" fillId="0" borderId="9" xfId="0" applyNumberFormat="1" applyFill="1" applyBorder="1" applyAlignment="1" applyProtection="1">
      <alignment horizontal="center"/>
    </xf>
    <xf numFmtId="0" fontId="0" fillId="0" borderId="8" xfId="0" applyFill="1" applyBorder="1" applyAlignment="1">
      <alignment horizontal="center" vertical="center"/>
    </xf>
    <xf numFmtId="2" fontId="0" fillId="0" borderId="9" xfId="0" applyNumberFormat="1" applyFill="1" applyBorder="1"/>
    <xf numFmtId="2" fontId="1" fillId="0" borderId="9" xfId="0" applyNumberFormat="1" applyFont="1" applyFill="1" applyBorder="1" applyAlignment="1" applyProtection="1">
      <alignment horizontal="center" vertical="center"/>
    </xf>
    <xf numFmtId="2" fontId="9" fillId="0" borderId="9" xfId="0" applyNumberFormat="1" applyFont="1" applyFill="1" applyBorder="1" applyAlignment="1" applyProtection="1">
      <alignment horizontal="center" vertical="center"/>
    </xf>
    <xf numFmtId="0" fontId="0" fillId="0" borderId="12" xfId="0" applyFill="1" applyBorder="1" applyAlignment="1">
      <alignment horizontal="center"/>
    </xf>
    <xf numFmtId="173" fontId="0" fillId="0" borderId="12" xfId="0" applyNumberFormat="1" applyFill="1" applyBorder="1" applyAlignment="1" applyProtection="1">
      <alignment horizontal="center"/>
    </xf>
    <xf numFmtId="0" fontId="0" fillId="0" borderId="11" xfId="0" applyFill="1" applyBorder="1" applyAlignment="1">
      <alignment horizontal="center" vertical="center"/>
    </xf>
    <xf numFmtId="2" fontId="0" fillId="0" borderId="12" xfId="0" applyNumberFormat="1" applyFill="1" applyBorder="1"/>
    <xf numFmtId="2" fontId="1" fillId="0" borderId="12" xfId="0" applyNumberFormat="1" applyFont="1" applyFill="1" applyBorder="1" applyAlignment="1" applyProtection="1">
      <alignment horizontal="center" vertical="center"/>
    </xf>
    <xf numFmtId="0" fontId="0" fillId="0" borderId="15" xfId="0" applyFill="1" applyBorder="1" applyAlignment="1">
      <alignment horizontal="center" vertical="center"/>
    </xf>
    <xf numFmtId="2" fontId="0" fillId="0" borderId="0" xfId="0" applyNumberFormat="1" applyFill="1" applyBorder="1"/>
    <xf numFmtId="2" fontId="1" fillId="0" borderId="0"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0" fontId="35" fillId="0" borderId="0" xfId="0" applyFont="1"/>
    <xf numFmtId="0" fontId="35" fillId="0" borderId="0" xfId="0" applyFont="1" applyBorder="1"/>
    <xf numFmtId="1" fontId="0" fillId="0" borderId="9" xfId="0" applyNumberFormat="1" applyFill="1" applyBorder="1" applyAlignment="1">
      <alignment horizontal="center" vertical="center"/>
    </xf>
    <xf numFmtId="1" fontId="0" fillId="0" borderId="0" xfId="0" applyNumberFormat="1" applyFill="1" applyBorder="1" applyAlignment="1">
      <alignment horizontal="center" vertical="center"/>
    </xf>
    <xf numFmtId="2" fontId="0" fillId="0" borderId="9" xfId="0" applyNumberFormat="1" applyFill="1" applyBorder="1" applyAlignment="1">
      <alignment horizontal="center" vertical="center"/>
    </xf>
    <xf numFmtId="2" fontId="0" fillId="0" borderId="0" xfId="0" applyNumberFormat="1" applyFill="1" applyBorder="1" applyAlignment="1">
      <alignment horizontal="center" vertical="center"/>
    </xf>
    <xf numFmtId="2" fontId="1" fillId="0" borderId="10" xfId="0" applyNumberFormat="1" applyFont="1" applyFill="1" applyBorder="1" applyAlignment="1" applyProtection="1">
      <alignment horizontal="center"/>
    </xf>
    <xf numFmtId="173" fontId="0" fillId="0" borderId="0" xfId="0" applyNumberFormat="1" applyFill="1" applyBorder="1" applyAlignment="1" applyProtection="1">
      <alignment horizontal="center"/>
    </xf>
    <xf numFmtId="2" fontId="1" fillId="0" borderId="0" xfId="0" applyNumberFormat="1" applyFont="1" applyFill="1" applyBorder="1" applyAlignment="1" applyProtection="1">
      <alignment horizontal="center"/>
    </xf>
    <xf numFmtId="2" fontId="1" fillId="0" borderId="19" xfId="0" applyNumberFormat="1" applyFont="1" applyFill="1" applyBorder="1" applyAlignment="1" applyProtection="1">
      <alignment horizontal="center"/>
    </xf>
    <xf numFmtId="0" fontId="0" fillId="0" borderId="0" xfId="0" quotePrefix="1"/>
    <xf numFmtId="0" fontId="9" fillId="0" borderId="0" xfId="0" quotePrefix="1" applyFont="1" applyFill="1" applyBorder="1" applyAlignment="1" applyProtection="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6" xfId="0" applyFont="1" applyBorder="1" applyAlignment="1">
      <alignment horizontal="center" vertical="center"/>
    </xf>
    <xf numFmtId="0" fontId="9" fillId="0" borderId="20" xfId="0" applyFont="1" applyBorder="1" applyAlignment="1">
      <alignment horizontal="center" vertical="center"/>
    </xf>
    <xf numFmtId="0" fontId="12" fillId="0" borderId="0" xfId="0" applyFont="1" applyBorder="1"/>
    <xf numFmtId="0" fontId="9" fillId="0" borderId="0" xfId="0" applyFont="1" applyFill="1" applyBorder="1" applyAlignment="1"/>
    <xf numFmtId="0" fontId="0" fillId="0" borderId="0" xfId="0" applyAlignment="1">
      <alignment horizontal="center"/>
    </xf>
    <xf numFmtId="0" fontId="9" fillId="0" borderId="0" xfId="0" quotePrefix="1" applyFont="1" applyAlignment="1">
      <alignment horizontal="left" vertical="center"/>
    </xf>
    <xf numFmtId="0" fontId="7" fillId="0" borderId="9" xfId="0" applyFont="1" applyBorder="1" applyAlignment="1">
      <alignment vertical="center"/>
    </xf>
    <xf numFmtId="0" fontId="9" fillId="0" borderId="27" xfId="0" applyFont="1" applyFill="1" applyBorder="1" applyAlignment="1" applyProtection="1">
      <alignment horizontal="right" vertical="center"/>
      <protection locked="0"/>
    </xf>
    <xf numFmtId="0" fontId="9" fillId="0" borderId="24" xfId="0" applyFont="1" applyFill="1" applyBorder="1" applyAlignment="1" applyProtection="1">
      <alignment horizontal="right" vertical="center"/>
      <protection locked="0"/>
    </xf>
    <xf numFmtId="0" fontId="9" fillId="0" borderId="19" xfId="0" applyFont="1" applyFill="1" applyBorder="1" applyAlignment="1">
      <alignment horizontal="center" vertical="center"/>
    </xf>
    <xf numFmtId="0" fontId="9" fillId="0" borderId="11" xfId="0" applyFont="1" applyFill="1" applyBorder="1" applyAlignment="1">
      <alignment vertical="center"/>
    </xf>
    <xf numFmtId="0" fontId="9" fillId="0" borderId="8" xfId="0" applyFont="1" applyFill="1" applyBorder="1" applyAlignment="1">
      <alignment vertical="center"/>
    </xf>
    <xf numFmtId="0" fontId="9" fillId="0" borderId="30" xfId="0" applyFont="1" applyFill="1" applyBorder="1" applyAlignment="1">
      <alignment vertical="center"/>
    </xf>
    <xf numFmtId="0" fontId="9" fillId="0" borderId="34" xfId="0" applyFont="1" applyFill="1" applyBorder="1" applyAlignment="1">
      <alignment vertical="center"/>
    </xf>
    <xf numFmtId="0" fontId="9" fillId="0" borderId="23" xfId="0" applyFont="1" applyFill="1" applyBorder="1" applyAlignment="1">
      <alignment vertical="center"/>
    </xf>
    <xf numFmtId="0" fontId="9" fillId="0" borderId="23"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30" xfId="0" applyFont="1" applyBorder="1" applyAlignment="1">
      <alignment vertical="center"/>
    </xf>
    <xf numFmtId="0" fontId="9" fillId="0" borderId="11" xfId="0" applyFont="1" applyBorder="1" applyAlignment="1">
      <alignment vertical="center"/>
    </xf>
    <xf numFmtId="0" fontId="36" fillId="0" borderId="0" xfId="0" applyFont="1" applyFill="1" applyBorder="1" applyAlignment="1">
      <alignment vertical="center" wrapText="1"/>
    </xf>
    <xf numFmtId="0" fontId="36" fillId="0" borderId="0" xfId="0" applyFont="1" applyFill="1" applyBorder="1"/>
    <xf numFmtId="0" fontId="37" fillId="0" borderId="0" xfId="0" applyFont="1" applyAlignment="1" applyProtection="1">
      <alignment vertical="center"/>
    </xf>
    <xf numFmtId="0" fontId="37" fillId="0" borderId="0" xfId="0" applyFont="1" applyAlignment="1" applyProtection="1">
      <alignment horizontal="center" vertical="center"/>
    </xf>
    <xf numFmtId="0" fontId="38" fillId="0" borderId="0" xfId="0" applyFont="1" applyAlignment="1" applyProtection="1">
      <alignment horizontal="right" vertical="center"/>
    </xf>
    <xf numFmtId="0" fontId="20" fillId="0" borderId="0" xfId="0" applyFont="1" applyAlignment="1" applyProtection="1">
      <alignment vertical="center"/>
    </xf>
    <xf numFmtId="0" fontId="35" fillId="0" borderId="0" xfId="0" applyFont="1" applyAlignment="1" applyProtection="1">
      <alignment vertical="center"/>
    </xf>
    <xf numFmtId="0" fontId="37" fillId="0" borderId="0" xfId="0" applyFont="1" applyFill="1" applyBorder="1" applyAlignment="1" applyProtection="1">
      <alignment vertical="center"/>
    </xf>
    <xf numFmtId="0" fontId="37" fillId="0" borderId="0" xfId="0" applyFont="1" applyAlignment="1" applyProtection="1">
      <alignment horizontal="center" vertical="top"/>
    </xf>
    <xf numFmtId="0" fontId="8" fillId="0" borderId="0" xfId="0" applyFont="1" applyAlignment="1" applyProtection="1">
      <alignment vertical="center"/>
    </xf>
    <xf numFmtId="0" fontId="39" fillId="0" borderId="0" xfId="0" applyFont="1" applyAlignment="1" applyProtection="1">
      <alignment horizontal="right" vertical="center"/>
    </xf>
    <xf numFmtId="0" fontId="13" fillId="0" borderId="0" xfId="0" applyFont="1" applyAlignment="1" applyProtection="1">
      <alignment vertical="center"/>
    </xf>
    <xf numFmtId="0" fontId="41" fillId="0" borderId="0" xfId="0" applyFont="1" applyAlignment="1" applyProtection="1">
      <alignment horizontal="right" vertical="center"/>
    </xf>
    <xf numFmtId="0" fontId="42" fillId="0" borderId="0" xfId="0" applyFont="1" applyAlignment="1" applyProtection="1">
      <alignment horizontal="left" vertical="center"/>
    </xf>
    <xf numFmtId="0" fontId="43" fillId="0" borderId="0" xfId="0" applyFont="1" applyAlignment="1" applyProtection="1">
      <alignment vertical="center"/>
    </xf>
    <xf numFmtId="0" fontId="44" fillId="0" borderId="0" xfId="0" applyFont="1" applyFill="1" applyBorder="1" applyAlignment="1" applyProtection="1">
      <alignment vertical="center"/>
    </xf>
    <xf numFmtId="0" fontId="8" fillId="0" borderId="0" xfId="0" applyFont="1" applyAlignment="1" applyProtection="1">
      <alignment horizontal="center" vertical="center"/>
    </xf>
    <xf numFmtId="0" fontId="44" fillId="0" borderId="0" xfId="0" applyFont="1" applyAlignment="1" applyProtection="1">
      <alignment vertical="center"/>
    </xf>
    <xf numFmtId="0" fontId="8" fillId="0" borderId="0" xfId="0" applyFont="1" applyAlignment="1" applyProtection="1">
      <alignment horizontal="right" vertical="center"/>
    </xf>
    <xf numFmtId="0" fontId="45" fillId="0" borderId="0" xfId="0" applyFont="1" applyAlignment="1">
      <alignment horizontal="left" vertical="center"/>
    </xf>
    <xf numFmtId="0" fontId="8" fillId="0" borderId="0" xfId="0" applyFont="1" applyAlignment="1">
      <alignment vertical="center"/>
    </xf>
    <xf numFmtId="0" fontId="44" fillId="0" borderId="0" xfId="0" applyFont="1" applyAlignment="1">
      <alignment vertical="center"/>
    </xf>
    <xf numFmtId="0" fontId="46" fillId="0" borderId="0" xfId="0" applyFont="1" applyAlignment="1" applyProtection="1">
      <alignment vertical="center"/>
    </xf>
    <xf numFmtId="0" fontId="44" fillId="0" borderId="0" xfId="0" applyFont="1" applyAlignment="1" applyProtection="1">
      <alignment horizontal="center" vertical="center"/>
    </xf>
    <xf numFmtId="0" fontId="37" fillId="0" borderId="0" xfId="0" applyFont="1" applyAlignment="1" applyProtection="1">
      <alignment horizontal="right"/>
    </xf>
    <xf numFmtId="0" fontId="44" fillId="0" borderId="0" xfId="0" applyFont="1" applyFill="1" applyAlignment="1" applyProtection="1">
      <alignment horizontal="center"/>
    </xf>
    <xf numFmtId="0" fontId="47" fillId="0" borderId="0" xfId="0" applyFont="1" applyAlignment="1" applyProtection="1">
      <alignment vertical="center"/>
    </xf>
    <xf numFmtId="0" fontId="8" fillId="0" borderId="48" xfId="0" applyFont="1" applyBorder="1" applyAlignment="1" applyProtection="1">
      <alignment horizontal="center" vertical="center" wrapText="1"/>
    </xf>
    <xf numFmtId="0" fontId="8" fillId="0" borderId="49" xfId="0" applyFont="1" applyBorder="1" applyAlignment="1" applyProtection="1">
      <alignment horizontal="center" vertical="center" wrapText="1"/>
    </xf>
    <xf numFmtId="0" fontId="20" fillId="0" borderId="0" xfId="0" applyFont="1" applyFill="1" applyBorder="1" applyAlignment="1" applyProtection="1">
      <alignment horizontal="center" vertical="center"/>
    </xf>
    <xf numFmtId="0" fontId="0" fillId="11" borderId="4" xfId="0" applyFill="1" applyBorder="1" applyAlignment="1" applyProtection="1">
      <alignment horizontal="center" vertical="center"/>
    </xf>
    <xf numFmtId="1" fontId="8" fillId="0" borderId="4" xfId="0" applyNumberFormat="1" applyFont="1" applyFill="1" applyBorder="1" applyAlignment="1" applyProtection="1">
      <alignment horizontal="center" vertical="center" wrapText="1"/>
    </xf>
    <xf numFmtId="164" fontId="8" fillId="0" borderId="32" xfId="2" applyFont="1" applyFill="1" applyBorder="1" applyAlignment="1" applyProtection="1">
      <alignment horizontal="center" vertical="center" wrapText="1"/>
    </xf>
    <xf numFmtId="0" fontId="49" fillId="0" borderId="0" xfId="0" applyFont="1" applyAlignment="1" applyProtection="1">
      <alignment vertical="center"/>
    </xf>
    <xf numFmtId="0" fontId="20" fillId="7" borderId="54" xfId="0" applyFont="1" applyFill="1" applyBorder="1" applyAlignment="1" applyProtection="1">
      <alignment horizontal="center" vertical="center"/>
    </xf>
    <xf numFmtId="0" fontId="20" fillId="7" borderId="2" xfId="0" applyFont="1" applyFill="1" applyBorder="1" applyAlignment="1" applyProtection="1">
      <alignment horizontal="center" vertical="center"/>
    </xf>
    <xf numFmtId="0" fontId="8" fillId="0" borderId="4"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xf>
    <xf numFmtId="0" fontId="0" fillId="0" borderId="0" xfId="0" applyAlignment="1" applyProtection="1">
      <alignment horizontal="left"/>
    </xf>
    <xf numFmtId="0" fontId="0" fillId="0" borderId="0" xfId="0" applyNumberFormat="1" applyProtection="1"/>
    <xf numFmtId="0" fontId="20" fillId="0" borderId="0" xfId="0" applyFont="1" applyFill="1" applyBorder="1" applyAlignment="1" applyProtection="1">
      <alignment horizontal="center" vertical="center"/>
      <protection locked="0"/>
    </xf>
    <xf numFmtId="0" fontId="0" fillId="0" borderId="0" xfId="0" applyProtection="1">
      <protection locked="0"/>
    </xf>
    <xf numFmtId="0" fontId="20" fillId="0" borderId="2" xfId="0" applyFont="1" applyFill="1" applyBorder="1" applyAlignment="1" applyProtection="1">
      <alignment horizontal="center" vertical="center"/>
    </xf>
    <xf numFmtId="0" fontId="20" fillId="0" borderId="0" xfId="0" applyFont="1" applyFill="1" applyAlignment="1" applyProtection="1">
      <alignment vertical="center"/>
    </xf>
    <xf numFmtId="0" fontId="20" fillId="5" borderId="54" xfId="0" applyFont="1" applyFill="1" applyBorder="1" applyAlignment="1" applyProtection="1">
      <alignment horizontal="center" vertical="center"/>
    </xf>
    <xf numFmtId="2" fontId="20" fillId="0" borderId="0" xfId="0" applyNumberFormat="1" applyFont="1" applyFill="1" applyBorder="1" applyAlignment="1" applyProtection="1">
      <alignment horizontal="center" vertical="center"/>
    </xf>
    <xf numFmtId="1" fontId="20" fillId="7" borderId="54" xfId="0" applyNumberFormat="1" applyFont="1" applyFill="1" applyBorder="1" applyAlignment="1" applyProtection="1">
      <alignment horizontal="center" vertical="center"/>
    </xf>
    <xf numFmtId="0" fontId="37" fillId="0" borderId="4" xfId="0" applyFont="1" applyFill="1" applyBorder="1" applyAlignment="1" applyProtection="1">
      <alignment vertical="center"/>
    </xf>
    <xf numFmtId="0" fontId="8" fillId="0" borderId="29" xfId="0" applyFont="1" applyFill="1" applyBorder="1" applyAlignment="1" applyProtection="1">
      <alignment horizontal="center" vertical="center"/>
    </xf>
    <xf numFmtId="0" fontId="51" fillId="0" borderId="41" xfId="0" applyFont="1" applyFill="1" applyBorder="1" applyAlignment="1" applyProtection="1">
      <alignment horizontal="center" vertical="center"/>
    </xf>
    <xf numFmtId="0" fontId="8" fillId="0" borderId="41" xfId="0" applyFont="1" applyFill="1" applyBorder="1" applyAlignment="1" applyProtection="1">
      <alignment horizontal="center" vertical="center"/>
    </xf>
    <xf numFmtId="0" fontId="8" fillId="0" borderId="41" xfId="0" applyFont="1" applyFill="1" applyBorder="1" applyAlignment="1" applyProtection="1">
      <alignment horizontal="left" vertical="center"/>
    </xf>
    <xf numFmtId="0" fontId="51"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Border="1" applyAlignment="1" applyProtection="1">
      <alignment vertical="center"/>
    </xf>
    <xf numFmtId="0" fontId="8" fillId="0" borderId="0" xfId="0" applyFont="1" applyBorder="1" applyAlignment="1" applyProtection="1">
      <alignment vertical="center"/>
      <protection locked="0"/>
    </xf>
    <xf numFmtId="0" fontId="37" fillId="0" borderId="0" xfId="0" applyFont="1" applyBorder="1" applyAlignment="1" applyProtection="1">
      <alignment vertical="center"/>
    </xf>
    <xf numFmtId="0" fontId="22" fillId="0" borderId="0" xfId="0" applyFont="1" applyFill="1" applyBorder="1" applyAlignment="1" applyProtection="1">
      <alignment horizontal="right" vertical="center"/>
    </xf>
    <xf numFmtId="0" fontId="8" fillId="0" borderId="1" xfId="0" applyFont="1" applyBorder="1" applyAlignment="1" applyProtection="1">
      <alignment vertical="center"/>
    </xf>
    <xf numFmtId="0" fontId="8" fillId="0" borderId="2" xfId="0" applyFont="1" applyBorder="1" applyAlignment="1" applyProtection="1">
      <alignment vertical="center"/>
    </xf>
    <xf numFmtId="0" fontId="8" fillId="0" borderId="2" xfId="0" applyFont="1" applyBorder="1" applyAlignment="1" applyProtection="1">
      <alignment horizontal="right" vertical="center"/>
    </xf>
    <xf numFmtId="14" fontId="8" fillId="0" borderId="2" xfId="0" applyNumberFormat="1" applyFont="1" applyBorder="1" applyAlignment="1">
      <alignment vertical="center"/>
    </xf>
    <xf numFmtId="0" fontId="37" fillId="0" borderId="2" xfId="0" applyFont="1" applyBorder="1" applyAlignment="1" applyProtection="1">
      <alignment vertical="center"/>
    </xf>
    <xf numFmtId="0" fontId="37" fillId="0" borderId="2" xfId="0" applyFont="1" applyBorder="1" applyAlignment="1" applyProtection="1">
      <alignment horizontal="center" vertical="center"/>
    </xf>
    <xf numFmtId="14" fontId="8" fillId="0" borderId="3" xfId="0" applyNumberFormat="1" applyFont="1" applyBorder="1" applyAlignment="1">
      <alignment horizontal="left" vertical="center"/>
    </xf>
    <xf numFmtId="0" fontId="49" fillId="0" borderId="0" xfId="0" applyFont="1" applyFill="1" applyBorder="1" applyAlignment="1" applyProtection="1">
      <alignment vertical="center"/>
    </xf>
    <xf numFmtId="0" fontId="53" fillId="0" borderId="0" xfId="0" applyFont="1" applyFill="1" applyBorder="1" applyAlignment="1" applyProtection="1">
      <alignment horizontal="right" vertical="center"/>
    </xf>
    <xf numFmtId="0" fontId="54" fillId="0" borderId="0" xfId="0" applyFont="1" applyFill="1" applyBorder="1" applyAlignment="1" applyProtection="1">
      <alignment horizontal="left" vertical="center"/>
    </xf>
    <xf numFmtId="0" fontId="37" fillId="0" borderId="3" xfId="0" applyFont="1" applyFill="1" applyBorder="1" applyAlignment="1" applyProtection="1">
      <alignment horizontal="right" vertical="center"/>
    </xf>
    <xf numFmtId="0" fontId="37" fillId="0" borderId="0" xfId="0" applyFont="1" applyFill="1" applyBorder="1" applyAlignment="1" applyProtection="1">
      <alignment horizontal="left" vertical="center"/>
    </xf>
    <xf numFmtId="0" fontId="37"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9" fillId="0" borderId="64" xfId="0" applyFont="1" applyBorder="1" applyAlignment="1" applyProtection="1">
      <alignment horizontal="center" vertical="center"/>
    </xf>
    <xf numFmtId="0" fontId="49" fillId="0" borderId="0" xfId="0" applyFont="1" applyFill="1" applyBorder="1" applyAlignment="1" applyProtection="1">
      <alignment horizontal="left" vertical="center"/>
    </xf>
    <xf numFmtId="0" fontId="56" fillId="12" borderId="0" xfId="0" applyFont="1" applyFill="1"/>
    <xf numFmtId="0" fontId="57" fillId="12" borderId="0" xfId="0" applyFont="1" applyFill="1"/>
    <xf numFmtId="0" fontId="58" fillId="12" borderId="0" xfId="0" applyFont="1" applyFill="1"/>
    <xf numFmtId="0" fontId="0" fillId="12" borderId="0" xfId="0" applyFill="1"/>
    <xf numFmtId="0" fontId="59" fillId="12" borderId="0" xfId="0" applyFont="1" applyFill="1"/>
    <xf numFmtId="0" fontId="60" fillId="12" borderId="0" xfId="0" applyFont="1" applyFill="1"/>
    <xf numFmtId="0" fontId="61" fillId="12" borderId="0" xfId="0" applyFont="1" applyFill="1"/>
    <xf numFmtId="0" fontId="62" fillId="0" borderId="0" xfId="0" applyFont="1"/>
    <xf numFmtId="0" fontId="61" fillId="0" borderId="0" xfId="0" applyFont="1"/>
    <xf numFmtId="0" fontId="63" fillId="0" borderId="0" xfId="0" applyFont="1" applyAlignment="1">
      <alignment horizontal="center"/>
    </xf>
    <xf numFmtId="9" fontId="63" fillId="0" borderId="0" xfId="0" applyNumberFormat="1" applyFont="1" applyAlignment="1">
      <alignment horizontal="left"/>
    </xf>
    <xf numFmtId="0" fontId="64" fillId="0" borderId="0" xfId="0" applyFont="1"/>
    <xf numFmtId="0" fontId="9" fillId="0" borderId="0" xfId="4" applyFill="1"/>
    <xf numFmtId="0" fontId="62" fillId="0" borderId="0" xfId="4" applyFont="1" applyFill="1" applyAlignment="1">
      <alignment horizontal="left" indent="2"/>
    </xf>
    <xf numFmtId="0" fontId="66" fillId="0" borderId="0" xfId="4" applyFont="1" applyFill="1" applyAlignment="1">
      <alignment horizontal="left"/>
    </xf>
    <xf numFmtId="0" fontId="61" fillId="0" borderId="0" xfId="4" applyFont="1" applyFill="1" applyAlignment="1">
      <alignment horizontal="center"/>
    </xf>
    <xf numFmtId="0" fontId="67" fillId="0" borderId="0" xfId="4" applyFont="1" applyFill="1"/>
    <xf numFmtId="0" fontId="62" fillId="0" borderId="0" xfId="0" applyFont="1" applyFill="1" applyAlignment="1">
      <alignment horizontal="left" indent="2"/>
    </xf>
    <xf numFmtId="0" fontId="67" fillId="0" borderId="0" xfId="4" applyFont="1" applyFill="1" applyAlignment="1">
      <alignment horizontal="left"/>
    </xf>
    <xf numFmtId="0" fontId="66" fillId="0" borderId="0" xfId="0" applyFont="1" applyFill="1" applyAlignment="1">
      <alignment horizontal="left"/>
    </xf>
    <xf numFmtId="0" fontId="61" fillId="0" borderId="0" xfId="0" applyFont="1" applyFill="1" applyAlignment="1">
      <alignment horizontal="center"/>
    </xf>
    <xf numFmtId="0" fontId="67" fillId="0" borderId="0" xfId="5" applyFont="1" applyFill="1" applyAlignment="1">
      <alignment horizontal="left"/>
    </xf>
    <xf numFmtId="1" fontId="62" fillId="0" borderId="0" xfId="0" applyNumberFormat="1" applyFont="1" applyFill="1" applyAlignment="1">
      <alignment horizontal="right"/>
    </xf>
    <xf numFmtId="175" fontId="62" fillId="0" borderId="0" xfId="0" applyNumberFormat="1" applyFont="1" applyFill="1" applyAlignment="1">
      <alignment horizontal="right"/>
    </xf>
    <xf numFmtId="0" fontId="62" fillId="0" borderId="0" xfId="0" applyFont="1" applyFill="1" applyAlignment="1">
      <alignment horizontal="left"/>
    </xf>
    <xf numFmtId="0" fontId="67" fillId="0" borderId="0" xfId="0" applyFont="1" applyFill="1"/>
    <xf numFmtId="176" fontId="0" fillId="0" borderId="0" xfId="0" applyNumberFormat="1" applyFill="1"/>
    <xf numFmtId="176" fontId="0" fillId="0" borderId="0" xfId="0" applyNumberFormat="1"/>
    <xf numFmtId="1" fontId="62" fillId="0" borderId="0" xfId="0" applyNumberFormat="1" applyFont="1" applyAlignment="1">
      <alignment horizontal="right"/>
    </xf>
    <xf numFmtId="175" fontId="62" fillId="0" borderId="0" xfId="0" applyNumberFormat="1" applyFont="1" applyAlignment="1">
      <alignment horizontal="right"/>
    </xf>
    <xf numFmtId="0" fontId="62" fillId="0" borderId="0" xfId="0" applyFont="1" applyAlignment="1">
      <alignment horizontal="left"/>
    </xf>
    <xf numFmtId="0" fontId="61" fillId="0" borderId="0" xfId="0" applyFont="1" applyAlignment="1">
      <alignment horizontal="center"/>
    </xf>
    <xf numFmtId="0" fontId="67" fillId="0" borderId="0" xfId="5" applyFont="1" applyAlignment="1">
      <alignment horizontal="left"/>
    </xf>
    <xf numFmtId="0" fontId="62" fillId="0" borderId="0" xfId="4" applyFont="1" applyAlignment="1">
      <alignment horizontal="left" indent="2"/>
    </xf>
    <xf numFmtId="0" fontId="42" fillId="0" borderId="0" xfId="0" applyFont="1" applyAlignment="1">
      <alignment horizontal="left"/>
    </xf>
    <xf numFmtId="0" fontId="62" fillId="0" borderId="0" xfId="6" applyFont="1" applyAlignment="1">
      <alignment horizontal="left"/>
    </xf>
    <xf numFmtId="0" fontId="61" fillId="0" borderId="0" xfId="6" applyFont="1" applyAlignment="1">
      <alignment horizontal="center"/>
    </xf>
    <xf numFmtId="0" fontId="67" fillId="0" borderId="0" xfId="6" applyFont="1" applyAlignment="1">
      <alignment horizontal="left"/>
    </xf>
    <xf numFmtId="0" fontId="68" fillId="0" borderId="0" xfId="0" applyFont="1"/>
    <xf numFmtId="0" fontId="67" fillId="0" borderId="0" xfId="5" applyFont="1"/>
    <xf numFmtId="0" fontId="67" fillId="0" borderId="0" xfId="5" applyFont="1" applyFill="1"/>
    <xf numFmtId="0" fontId="68" fillId="0" borderId="0" xfId="0" applyFont="1" applyFill="1"/>
    <xf numFmtId="0" fontId="67" fillId="0" borderId="0" xfId="5" applyFont="1" applyFill="1" applyBorder="1"/>
    <xf numFmtId="176" fontId="67" fillId="0" borderId="0" xfId="0" applyNumberFormat="1" applyFont="1"/>
    <xf numFmtId="0" fontId="9" fillId="0" borderId="0" xfId="0" applyFont="1" applyBorder="1" applyAlignment="1">
      <alignment horizontal="left" wrapText="1"/>
    </xf>
    <xf numFmtId="0" fontId="67" fillId="0" borderId="0" xfId="0" applyFont="1"/>
    <xf numFmtId="0" fontId="65" fillId="0" borderId="0" xfId="4" applyFont="1" applyAlignment="1"/>
    <xf numFmtId="0" fontId="62" fillId="0" borderId="0" xfId="5" applyFont="1" applyFill="1" applyAlignment="1">
      <alignment horizontal="left"/>
    </xf>
    <xf numFmtId="0" fontId="61" fillId="0" borderId="0" xfId="5" applyFont="1" applyFill="1" applyAlignment="1">
      <alignment horizontal="center"/>
    </xf>
    <xf numFmtId="0" fontId="67" fillId="0" borderId="0" xfId="0" applyFont="1" applyAlignment="1">
      <alignment horizontal="center" vertical="center"/>
    </xf>
    <xf numFmtId="0" fontId="67" fillId="0" borderId="0" xfId="4" applyFont="1" applyFill="1" applyAlignment="1">
      <alignment horizontal="center" vertical="center"/>
    </xf>
    <xf numFmtId="0" fontId="9" fillId="0" borderId="0" xfId="5" applyFont="1" applyFill="1"/>
    <xf numFmtId="0" fontId="9" fillId="0" borderId="0" xfId="5" applyFont="1" applyFill="1" applyBorder="1" applyAlignment="1">
      <alignment horizontal="left" wrapText="1"/>
    </xf>
    <xf numFmtId="0" fontId="9" fillId="0" borderId="0" xfId="0" applyFont="1" applyAlignment="1">
      <alignment horizontal="center" vertical="center"/>
    </xf>
    <xf numFmtId="0" fontId="12" fillId="0" borderId="0" xfId="0" applyFont="1" applyAlignment="1">
      <alignment horizontal="left" vertical="center"/>
    </xf>
    <xf numFmtId="0" fontId="9" fillId="0" borderId="0" xfId="0" applyFont="1" applyAlignment="1">
      <alignment horizontal="left" vertical="center"/>
    </xf>
    <xf numFmtId="0" fontId="20" fillId="0" borderId="0" xfId="0" applyFont="1" applyFill="1" applyBorder="1" applyAlignment="1" applyProtection="1">
      <alignment horizontal="center" vertical="center"/>
    </xf>
    <xf numFmtId="2" fontId="20" fillId="7" borderId="54" xfId="0" quotePrefix="1" applyNumberFormat="1" applyFont="1" applyFill="1" applyBorder="1" applyAlignment="1" applyProtection="1">
      <alignment horizontal="center" vertical="center"/>
    </xf>
    <xf numFmtId="0" fontId="20" fillId="7" borderId="54" xfId="0" quotePrefix="1" applyFont="1" applyFill="1" applyBorder="1" applyAlignment="1" applyProtection="1">
      <alignment horizontal="center" vertical="center"/>
    </xf>
    <xf numFmtId="0" fontId="8" fillId="0" borderId="32" xfId="0" applyFont="1" applyFill="1" applyBorder="1" applyAlignment="1" applyProtection="1">
      <alignment horizontal="center" vertical="center" wrapText="1"/>
    </xf>
    <xf numFmtId="0" fontId="8" fillId="0" borderId="32" xfId="0" applyFont="1" applyFill="1" applyBorder="1" applyAlignment="1" applyProtection="1">
      <alignment horizontal="center" vertical="center"/>
    </xf>
    <xf numFmtId="0" fontId="25" fillId="0" borderId="0" xfId="0" applyFont="1" applyAlignment="1">
      <alignment horizontal="center"/>
    </xf>
    <xf numFmtId="0" fontId="25" fillId="0" borderId="0" xfId="0" applyFont="1"/>
    <xf numFmtId="1" fontId="22" fillId="0" borderId="55" xfId="0" applyNumberFormat="1" applyFont="1" applyFill="1" applyBorder="1" applyAlignment="1" applyProtection="1">
      <alignment horizontal="center" vertical="center"/>
    </xf>
    <xf numFmtId="0" fontId="51" fillId="0" borderId="58" xfId="0" applyFont="1" applyFill="1" applyBorder="1" applyAlignment="1" applyProtection="1">
      <alignment horizontal="center" vertical="center"/>
    </xf>
    <xf numFmtId="0" fontId="70" fillId="0" borderId="0" xfId="0" applyFont="1"/>
    <xf numFmtId="0" fontId="36" fillId="0" borderId="0" xfId="0" applyFont="1"/>
    <xf numFmtId="0" fontId="36" fillId="0" borderId="0" xfId="0" applyFont="1" applyAlignment="1">
      <alignment wrapText="1"/>
    </xf>
    <xf numFmtId="0" fontId="36" fillId="0" borderId="0" xfId="0" applyFont="1" applyAlignment="1">
      <alignment horizontal="center" vertical="center" wrapText="1"/>
    </xf>
    <xf numFmtId="165" fontId="8" fillId="0" borderId="56" xfId="2" applyNumberFormat="1" applyFont="1" applyFill="1" applyBorder="1" applyAlignment="1" applyProtection="1">
      <alignment horizontal="right" vertical="center"/>
    </xf>
    <xf numFmtId="0" fontId="20" fillId="0" borderId="0" xfId="0" applyFont="1" applyFill="1" applyBorder="1" applyAlignment="1" applyProtection="1">
      <alignment horizontal="center" vertical="center"/>
    </xf>
    <xf numFmtId="164" fontId="20" fillId="0" borderId="0" xfId="0" applyNumberFormat="1" applyFont="1" applyFill="1" applyBorder="1" applyAlignment="1" applyProtection="1">
      <alignment horizontal="center" vertical="center"/>
    </xf>
    <xf numFmtId="0" fontId="8" fillId="0" borderId="29" xfId="0" applyFont="1" applyFill="1" applyBorder="1" applyAlignment="1" applyProtection="1">
      <alignment horizontal="center" vertical="center" wrapText="1"/>
    </xf>
    <xf numFmtId="2" fontId="20" fillId="0" borderId="0" xfId="0" applyNumberFormat="1" applyFont="1" applyAlignment="1" applyProtection="1">
      <alignment horizontal="center" vertical="center"/>
    </xf>
    <xf numFmtId="0" fontId="4" fillId="0" borderId="62"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9" fillId="0" borderId="1" xfId="0" applyFont="1" applyBorder="1" applyAlignment="1" applyProtection="1">
      <alignment horizontal="left"/>
    </xf>
    <xf numFmtId="0" fontId="37" fillId="0" borderId="1" xfId="0" applyFont="1" applyFill="1" applyBorder="1" applyAlignment="1" applyProtection="1">
      <alignment horizontal="center" vertical="center"/>
    </xf>
    <xf numFmtId="0" fontId="37" fillId="0" borderId="3" xfId="0" applyFont="1" applyFill="1" applyBorder="1" applyAlignment="1" applyProtection="1">
      <alignment horizontal="center" vertical="center"/>
    </xf>
    <xf numFmtId="0" fontId="37" fillId="0" borderId="2" xfId="0" applyFont="1" applyFill="1" applyBorder="1" applyAlignment="1" applyProtection="1">
      <alignment horizontal="center" vertical="center"/>
    </xf>
    <xf numFmtId="0" fontId="37" fillId="0" borderId="8" xfId="0"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0" fontId="37" fillId="0" borderId="10" xfId="0" applyFont="1" applyFill="1" applyBorder="1" applyAlignment="1" applyProtection="1">
      <alignment horizontal="center" vertical="center"/>
    </xf>
    <xf numFmtId="0" fontId="4" fillId="0" borderId="29" xfId="0" applyFont="1" applyFill="1" applyBorder="1" applyAlignment="1" applyProtection="1">
      <alignment horizontal="center" textRotation="90"/>
    </xf>
    <xf numFmtId="0" fontId="71" fillId="11" borderId="29" xfId="0" applyFont="1" applyFill="1" applyBorder="1" applyAlignment="1" applyProtection="1">
      <alignment horizontal="center" textRotation="90"/>
    </xf>
    <xf numFmtId="0" fontId="37" fillId="3" borderId="0" xfId="0" applyFont="1" applyFill="1" applyBorder="1" applyAlignment="1" applyProtection="1">
      <alignment vertical="center"/>
    </xf>
    <xf numFmtId="0" fontId="4" fillId="0" borderId="32" xfId="0" applyFont="1" applyFill="1" applyBorder="1" applyAlignment="1" applyProtection="1">
      <alignment horizontal="center" vertical="center"/>
    </xf>
    <xf numFmtId="0" fontId="34" fillId="0" borderId="60" xfId="0" applyFont="1" applyFill="1" applyBorder="1" applyAlignment="1" applyProtection="1">
      <alignment horizontal="center" vertical="center"/>
    </xf>
    <xf numFmtId="0" fontId="55" fillId="11" borderId="60" xfId="0" applyFont="1" applyFill="1" applyBorder="1" applyAlignment="1" applyProtection="1">
      <alignment horizontal="center" vertical="center"/>
    </xf>
    <xf numFmtId="0" fontId="4" fillId="8" borderId="29" xfId="0" applyFont="1" applyFill="1" applyBorder="1" applyAlignment="1" applyProtection="1">
      <alignment horizontal="center" textRotation="90"/>
    </xf>
    <xf numFmtId="0" fontId="4" fillId="9" borderId="29" xfId="0" applyFont="1" applyFill="1" applyBorder="1" applyAlignment="1" applyProtection="1">
      <alignment horizontal="center" textRotation="90"/>
    </xf>
    <xf numFmtId="0" fontId="4" fillId="10" borderId="29" xfId="0" applyFont="1" applyFill="1" applyBorder="1" applyAlignment="1" applyProtection="1">
      <alignment horizontal="center" textRotation="90"/>
    </xf>
    <xf numFmtId="0" fontId="9" fillId="0" borderId="62" xfId="0" applyFont="1" applyFill="1" applyBorder="1" applyAlignment="1" applyProtection="1">
      <alignment horizontal="center" vertical="center"/>
    </xf>
    <xf numFmtId="0" fontId="34" fillId="0" borderId="62" xfId="0" applyFont="1" applyFill="1" applyBorder="1" applyAlignment="1" applyProtection="1">
      <alignment horizontal="center" vertical="center"/>
    </xf>
    <xf numFmtId="0" fontId="55" fillId="11" borderId="62" xfId="0" applyFont="1" applyFill="1" applyBorder="1" applyAlignment="1" applyProtection="1">
      <alignment horizontal="center" vertical="center"/>
    </xf>
    <xf numFmtId="0" fontId="71" fillId="0" borderId="29" xfId="0" applyFont="1" applyFill="1" applyBorder="1" applyAlignment="1" applyProtection="1">
      <alignment horizontal="center" textRotation="90"/>
    </xf>
    <xf numFmtId="0" fontId="55" fillId="0" borderId="62" xfId="0" applyFont="1" applyFill="1" applyBorder="1" applyAlignment="1" applyProtection="1">
      <alignment horizontal="center" vertical="center"/>
    </xf>
    <xf numFmtId="0" fontId="9" fillId="0" borderId="62" xfId="0" applyFont="1" applyBorder="1" applyAlignment="1" applyProtection="1">
      <alignment horizontal="center"/>
    </xf>
    <xf numFmtId="0" fontId="4" fillId="0" borderId="62" xfId="0" applyFont="1" applyFill="1" applyBorder="1" applyAlignment="1" applyProtection="1">
      <alignment horizontal="center"/>
    </xf>
    <xf numFmtId="0" fontId="55" fillId="0" borderId="62" xfId="0" applyFont="1" applyBorder="1" applyAlignment="1" applyProtection="1">
      <alignment horizontal="center"/>
    </xf>
    <xf numFmtId="0" fontId="9" fillId="0" borderId="62" xfId="0" applyFont="1" applyFill="1" applyBorder="1" applyAlignment="1" applyProtection="1">
      <alignment horizontal="center"/>
    </xf>
    <xf numFmtId="0" fontId="55" fillId="11" borderId="62" xfId="0" applyFont="1" applyFill="1" applyBorder="1" applyAlignment="1" applyProtection="1">
      <alignment horizontal="center"/>
    </xf>
    <xf numFmtId="0" fontId="4" fillId="0" borderId="60" xfId="0" applyFont="1" applyFill="1" applyBorder="1" applyAlignment="1" applyProtection="1">
      <alignment horizontal="center"/>
    </xf>
    <xf numFmtId="0" fontId="55" fillId="11" borderId="60" xfId="0" applyFont="1" applyFill="1" applyBorder="1" applyAlignment="1" applyProtection="1">
      <alignment horizontal="center"/>
    </xf>
    <xf numFmtId="0" fontId="34" fillId="0" borderId="60" xfId="0" applyFont="1" applyFill="1" applyBorder="1" applyAlignment="1" applyProtection="1">
      <alignment horizontal="center"/>
    </xf>
    <xf numFmtId="0" fontId="9" fillId="0" borderId="2" xfId="0" applyFont="1" applyBorder="1" applyAlignment="1" applyProtection="1">
      <alignment horizontal="center"/>
    </xf>
    <xf numFmtId="0" fontId="9" fillId="0" borderId="60" xfId="0" applyFont="1" applyFill="1" applyBorder="1" applyAlignment="1" applyProtection="1">
      <alignment horizontal="center" vertical="center"/>
    </xf>
    <xf numFmtId="0" fontId="9" fillId="0" borderId="60" xfId="0" applyFont="1" applyBorder="1" applyAlignment="1" applyProtection="1">
      <alignment horizontal="center" vertical="center"/>
    </xf>
    <xf numFmtId="0" fontId="24" fillId="0" borderId="60" xfId="0" applyFont="1" applyFill="1" applyBorder="1" applyAlignment="1" applyProtection="1">
      <alignment horizontal="center" vertical="center"/>
    </xf>
    <xf numFmtId="0" fontId="9" fillId="0" borderId="60" xfId="0" applyFont="1" applyFill="1" applyBorder="1" applyAlignment="1" applyProtection="1">
      <alignment horizontal="center"/>
    </xf>
    <xf numFmtId="0" fontId="2" fillId="0" borderId="60" xfId="0" applyFont="1" applyBorder="1" applyAlignment="1" applyProtection="1">
      <alignment horizontal="center"/>
    </xf>
    <xf numFmtId="0" fontId="9" fillId="0" borderId="3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173" fontId="9" fillId="0" borderId="32" xfId="0" applyNumberFormat="1" applyFont="1" applyFill="1" applyBorder="1" applyAlignment="1" applyProtection="1">
      <alignment horizontal="center" vertical="center"/>
    </xf>
    <xf numFmtId="1" fontId="34" fillId="0" borderId="32" xfId="0" applyNumberFormat="1" applyFont="1" applyFill="1" applyBorder="1" applyAlignment="1" applyProtection="1">
      <alignment horizontal="center" vertical="center"/>
    </xf>
    <xf numFmtId="1" fontId="55" fillId="11" borderId="32"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173" fontId="9" fillId="3" borderId="4" xfId="0" applyNumberFormat="1" applyFont="1" applyFill="1" applyBorder="1" applyAlignment="1" applyProtection="1">
      <alignment horizontal="center" vertical="center"/>
    </xf>
    <xf numFmtId="1" fontId="9" fillId="3" borderId="4" xfId="0" applyNumberFormat="1" applyFont="1" applyFill="1" applyBorder="1" applyAlignment="1" applyProtection="1">
      <alignment horizontal="center" vertical="center"/>
    </xf>
    <xf numFmtId="173" fontId="4" fillId="3" borderId="4" xfId="0" applyNumberFormat="1" applyFont="1" applyFill="1" applyBorder="1" applyAlignment="1" applyProtection="1">
      <alignment horizontal="center" vertical="center"/>
    </xf>
    <xf numFmtId="173" fontId="4" fillId="0" borderId="4" xfId="0" applyNumberFormat="1"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1" fontId="4" fillId="3" borderId="4" xfId="0" applyNumberFormat="1" applyFont="1" applyFill="1" applyBorder="1" applyAlignment="1" applyProtection="1">
      <alignment horizontal="center" vertical="center"/>
    </xf>
    <xf numFmtId="1" fontId="4" fillId="0" borderId="4" xfId="0" applyNumberFormat="1" applyFont="1" applyFill="1" applyBorder="1" applyAlignment="1" applyProtection="1">
      <alignment horizontal="center" vertical="center"/>
    </xf>
    <xf numFmtId="0" fontId="4" fillId="0" borderId="4" xfId="0" applyFont="1" applyFill="1" applyBorder="1" applyAlignment="1" applyProtection="1">
      <alignment vertical="center"/>
    </xf>
    <xf numFmtId="173" fontId="4" fillId="0" borderId="4" xfId="0" applyNumberFormat="1" applyFont="1" applyFill="1" applyBorder="1" applyAlignment="1" applyProtection="1">
      <alignment vertical="center"/>
    </xf>
    <xf numFmtId="1" fontId="4" fillId="0" borderId="4" xfId="0" applyNumberFormat="1" applyFont="1" applyFill="1" applyBorder="1" applyAlignment="1" applyProtection="1">
      <alignment vertical="center"/>
    </xf>
    <xf numFmtId="0" fontId="4" fillId="0" borderId="3" xfId="0" applyFont="1" applyFill="1" applyBorder="1" applyAlignment="1" applyProtection="1">
      <alignment horizontal="center" vertical="center"/>
    </xf>
    <xf numFmtId="0" fontId="4" fillId="0" borderId="3" xfId="0" applyFont="1" applyFill="1" applyBorder="1" applyAlignment="1" applyProtection="1">
      <alignment vertical="center"/>
    </xf>
    <xf numFmtId="173" fontId="4" fillId="0" borderId="1" xfId="0" applyNumberFormat="1" applyFont="1" applyFill="1" applyBorder="1" applyAlignment="1" applyProtection="1">
      <alignment horizontal="center" vertical="center"/>
    </xf>
    <xf numFmtId="173" fontId="4" fillId="0" borderId="1" xfId="0" applyNumberFormat="1" applyFont="1" applyFill="1" applyBorder="1" applyAlignment="1" applyProtection="1">
      <alignment vertical="center"/>
    </xf>
    <xf numFmtId="0" fontId="9" fillId="0" borderId="36"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36" xfId="0" applyFont="1" applyFill="1" applyBorder="1" applyAlignment="1" applyProtection="1">
      <alignment vertical="center"/>
    </xf>
    <xf numFmtId="0" fontId="37" fillId="0" borderId="36" xfId="0" applyFont="1" applyFill="1" applyBorder="1" applyAlignment="1" applyProtection="1">
      <alignment vertical="center"/>
    </xf>
    <xf numFmtId="0" fontId="44" fillId="0" borderId="0" xfId="0" applyFont="1" applyFill="1" applyBorder="1" applyAlignment="1" applyProtection="1">
      <alignment horizontal="center" vertical="center"/>
    </xf>
    <xf numFmtId="0" fontId="12" fillId="0" borderId="0" xfId="0" applyFont="1" applyProtection="1">
      <protection locked="0"/>
    </xf>
    <xf numFmtId="0" fontId="36" fillId="0" borderId="0" xfId="0" applyFont="1" applyAlignment="1" applyProtection="1">
      <alignment horizontal="center"/>
      <protection locked="0"/>
    </xf>
    <xf numFmtId="0" fontId="36" fillId="0" borderId="0" xfId="0" applyFont="1" applyProtection="1">
      <protection locked="0"/>
    </xf>
    <xf numFmtId="0" fontId="9"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9" fillId="0" borderId="0" xfId="0" applyFont="1" applyAlignment="1" applyProtection="1">
      <alignment horizontal="center" vertical="center"/>
      <protection locked="0"/>
    </xf>
    <xf numFmtId="0" fontId="9" fillId="0" borderId="0" xfId="0" applyFont="1" applyAlignment="1" applyProtection="1">
      <alignment horizontal="left" vertical="center"/>
      <protection locked="0"/>
    </xf>
    <xf numFmtId="0" fontId="9" fillId="0" borderId="0" xfId="0" quotePrefix="1" applyFont="1" applyAlignment="1" applyProtection="1">
      <alignment horizontal="left" vertical="center"/>
      <protection locked="0"/>
    </xf>
    <xf numFmtId="0" fontId="25" fillId="0" borderId="0" xfId="0" applyFont="1" applyAlignment="1" applyProtection="1">
      <alignment horizontal="center" vertical="center"/>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0" fillId="0" borderId="0" xfId="0" pivotButton="1" applyProtection="1">
      <protection locked="0"/>
    </xf>
    <xf numFmtId="0" fontId="0" fillId="0" borderId="0" xfId="0" applyAlignment="1" applyProtection="1">
      <alignment horizontal="left"/>
      <protection locked="0"/>
    </xf>
    <xf numFmtId="0" fontId="0" fillId="0" borderId="0" xfId="0" applyNumberFormat="1" applyProtection="1">
      <protection locked="0"/>
    </xf>
    <xf numFmtId="0" fontId="9" fillId="2" borderId="20" xfId="0" applyFont="1" applyFill="1" applyBorder="1" applyAlignment="1" applyProtection="1">
      <alignment horizontal="center" vertical="center"/>
      <protection locked="0"/>
    </xf>
    <xf numFmtId="0" fontId="9" fillId="2" borderId="22" xfId="0" applyFont="1" applyFill="1" applyBorder="1" applyAlignment="1" applyProtection="1">
      <alignment horizontal="center" vertical="center"/>
      <protection locked="0"/>
    </xf>
    <xf numFmtId="0" fontId="9" fillId="2" borderId="25" xfId="0" applyFont="1" applyFill="1" applyBorder="1" applyAlignment="1" applyProtection="1">
      <alignment horizontal="center" vertical="center"/>
      <protection locked="0"/>
    </xf>
    <xf numFmtId="164" fontId="8" fillId="0" borderId="4" xfId="2" applyFont="1" applyFill="1" applyBorder="1" applyAlignment="1" applyProtection="1">
      <alignment horizontal="center" vertical="center" wrapText="1"/>
    </xf>
    <xf numFmtId="165" fontId="8" fillId="0" borderId="57" xfId="2" applyNumberFormat="1" applyFont="1" applyFill="1" applyBorder="1" applyAlignment="1" applyProtection="1">
      <alignment horizontal="right" vertical="center"/>
    </xf>
    <xf numFmtId="0" fontId="0" fillId="0" borderId="0" xfId="0" pivotButton="1"/>
    <xf numFmtId="0" fontId="0" fillId="0" borderId="0" xfId="0" applyAlignment="1">
      <alignment horizontal="left"/>
    </xf>
    <xf numFmtId="0" fontId="0" fillId="0" borderId="0" xfId="0" applyNumberFormat="1"/>
    <xf numFmtId="0" fontId="37" fillId="0" borderId="4" xfId="0" applyFont="1" applyFill="1" applyBorder="1" applyAlignment="1" applyProtection="1">
      <alignment horizontal="center" vertical="center"/>
    </xf>
    <xf numFmtId="0" fontId="12" fillId="0" borderId="0" xfId="0" applyFont="1" applyProtection="1"/>
    <xf numFmtId="165" fontId="8" fillId="0" borderId="56" xfId="2" applyNumberFormat="1" applyFont="1" applyFill="1" applyBorder="1" applyAlignment="1" applyProtection="1">
      <alignment horizontal="right" vertical="center"/>
      <protection locked="0"/>
    </xf>
    <xf numFmtId="164" fontId="8" fillId="0" borderId="32" xfId="2" applyFont="1" applyFill="1" applyBorder="1" applyAlignment="1" applyProtection="1">
      <alignment horizontal="center" vertical="center" wrapText="1"/>
      <protection locked="0"/>
    </xf>
    <xf numFmtId="1" fontId="22" fillId="0" borderId="55" xfId="0" applyNumberFormat="1" applyFont="1" applyFill="1" applyBorder="1" applyAlignment="1" applyProtection="1">
      <alignment horizontal="center" vertical="center"/>
      <protection locked="0"/>
    </xf>
    <xf numFmtId="1" fontId="8" fillId="0" borderId="4" xfId="0" applyNumberFormat="1" applyFont="1" applyFill="1" applyBorder="1" applyAlignment="1" applyProtection="1">
      <alignment horizontal="center" vertical="center" wrapText="1"/>
      <protection locked="0"/>
    </xf>
    <xf numFmtId="0" fontId="8" fillId="0" borderId="32"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20" fillId="7" borderId="54" xfId="0" applyFont="1" applyFill="1" applyBorder="1" applyAlignment="1" applyProtection="1">
      <alignment horizontal="center" vertical="center"/>
      <protection locked="0"/>
    </xf>
    <xf numFmtId="0" fontId="20" fillId="0" borderId="2" xfId="0" applyFont="1" applyFill="1" applyBorder="1" applyAlignment="1" applyProtection="1">
      <alignment horizontal="center" vertical="center"/>
      <protection locked="0"/>
    </xf>
    <xf numFmtId="1" fontId="20" fillId="7" borderId="54" xfId="0" quotePrefix="1" applyNumberFormat="1" applyFont="1" applyFill="1" applyBorder="1" applyAlignment="1" applyProtection="1">
      <alignment horizontal="center" vertical="center"/>
      <protection locked="0"/>
    </xf>
    <xf numFmtId="2" fontId="20" fillId="7" borderId="54" xfId="0" quotePrefix="1" applyNumberFormat="1" applyFont="1" applyFill="1" applyBorder="1" applyAlignment="1" applyProtection="1">
      <alignment horizontal="center" vertical="center"/>
      <protection locked="0"/>
    </xf>
    <xf numFmtId="0" fontId="20" fillId="7" borderId="54" xfId="0" quotePrefix="1" applyFont="1" applyFill="1" applyBorder="1" applyAlignment="1" applyProtection="1">
      <alignment horizontal="center" vertical="center"/>
      <protection locked="0"/>
    </xf>
    <xf numFmtId="0" fontId="35" fillId="0" borderId="0" xfId="0" applyFont="1" applyAlignment="1" applyProtection="1">
      <alignment vertical="center"/>
      <protection locked="0"/>
    </xf>
    <xf numFmtId="0" fontId="35" fillId="0" borderId="0" xfId="0" applyFont="1" applyFill="1" applyBorder="1" applyAlignment="1" applyProtection="1">
      <alignment vertical="center"/>
      <protection locked="0"/>
    </xf>
    <xf numFmtId="0" fontId="20" fillId="0" borderId="0" xfId="0" applyFont="1" applyFill="1" applyBorder="1" applyAlignment="1" applyProtection="1">
      <alignment vertical="center"/>
      <protection locked="0"/>
    </xf>
    <xf numFmtId="0" fontId="37" fillId="0" borderId="0" xfId="0" applyFont="1" applyFill="1" applyBorder="1" applyAlignment="1" applyProtection="1">
      <alignment vertical="center"/>
      <protection locked="0"/>
    </xf>
    <xf numFmtId="0" fontId="40" fillId="0" borderId="0" xfId="0" applyFont="1" applyFill="1" applyBorder="1" applyAlignment="1" applyProtection="1">
      <alignment horizontal="right" vertical="center"/>
      <protection locked="0"/>
    </xf>
    <xf numFmtId="0" fontId="44" fillId="0" borderId="0" xfId="0" applyFont="1" applyFill="1" applyBorder="1" applyAlignment="1" applyProtection="1">
      <alignment vertical="center"/>
      <protection locked="0"/>
    </xf>
    <xf numFmtId="0" fontId="46" fillId="0" borderId="0" xfId="0" applyFont="1" applyAlignment="1" applyProtection="1">
      <alignment vertical="center"/>
      <protection locked="0"/>
    </xf>
    <xf numFmtId="0" fontId="9" fillId="0" borderId="0" xfId="0" applyFont="1" applyFill="1" applyBorder="1" applyAlignment="1" applyProtection="1">
      <alignment horizontal="right" vertical="center"/>
      <protection locked="0"/>
    </xf>
    <xf numFmtId="0" fontId="46"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20" fillId="0" borderId="54" xfId="0" applyFont="1" applyBorder="1" applyAlignment="1" applyProtection="1">
      <alignment horizontal="center" vertical="center"/>
      <protection locked="0"/>
    </xf>
    <xf numFmtId="0" fontId="20" fillId="0" borderId="2" xfId="0" applyFont="1" applyBorder="1" applyAlignment="1" applyProtection="1">
      <alignment horizontal="center" vertical="center"/>
      <protection locked="0"/>
    </xf>
    <xf numFmtId="0" fontId="0" fillId="11" borderId="4" xfId="0" applyFill="1" applyBorder="1" applyAlignment="1" applyProtection="1">
      <alignment horizontal="center" vertical="center"/>
      <protection locked="0"/>
    </xf>
    <xf numFmtId="2" fontId="20" fillId="0" borderId="0" xfId="0" applyNumberFormat="1" applyFont="1" applyFill="1" applyBorder="1" applyAlignment="1" applyProtection="1">
      <alignment horizontal="center" vertical="center"/>
      <protection locked="0"/>
    </xf>
    <xf numFmtId="164" fontId="4" fillId="0" borderId="4" xfId="0" applyNumberFormat="1" applyFont="1" applyFill="1" applyBorder="1" applyAlignment="1" applyProtection="1">
      <alignment vertical="center"/>
      <protection locked="0"/>
    </xf>
    <xf numFmtId="164" fontId="37" fillId="0" borderId="4" xfId="0" applyNumberFormat="1" applyFont="1" applyFill="1" applyBorder="1" applyAlignment="1" applyProtection="1">
      <alignment vertical="center"/>
      <protection locked="0"/>
    </xf>
    <xf numFmtId="164" fontId="52" fillId="0" borderId="4" xfId="0" applyNumberFormat="1" applyFont="1" applyFill="1" applyBorder="1" applyAlignment="1" applyProtection="1">
      <alignment vertical="center"/>
      <protection locked="0"/>
    </xf>
    <xf numFmtId="0" fontId="50" fillId="0" borderId="0" xfId="0" applyNumberFormat="1" applyFont="1" applyFill="1" applyBorder="1" applyAlignment="1" applyProtection="1">
      <alignment horizontal="center" vertical="center"/>
      <protection locked="0"/>
    </xf>
    <xf numFmtId="164" fontId="20" fillId="0" borderId="0" xfId="0" applyNumberFormat="1" applyFont="1" applyFill="1" applyBorder="1" applyAlignment="1" applyProtection="1">
      <alignment horizontal="center" vertical="center"/>
      <protection locked="0"/>
    </xf>
    <xf numFmtId="0" fontId="51" fillId="0" borderId="53" xfId="0" applyFont="1" applyBorder="1" applyAlignment="1" applyProtection="1">
      <alignment horizontal="center" vertical="center" wrapText="1"/>
    </xf>
    <xf numFmtId="165" fontId="51" fillId="0" borderId="56" xfId="2" applyNumberFormat="1" applyFont="1" applyFill="1" applyBorder="1" applyAlignment="1" applyProtection="1">
      <alignment horizontal="right" vertical="center"/>
      <protection locked="0"/>
    </xf>
    <xf numFmtId="0" fontId="51" fillId="0" borderId="49" xfId="0" applyFont="1" applyFill="1" applyBorder="1" applyAlignment="1" applyProtection="1">
      <alignment horizontal="center" vertical="center" wrapText="1"/>
    </xf>
    <xf numFmtId="164" fontId="51" fillId="0" borderId="32" xfId="2" applyFont="1" applyFill="1" applyBorder="1" applyAlignment="1" applyProtection="1">
      <alignment horizontal="center" vertical="center" wrapText="1"/>
      <protection locked="0"/>
    </xf>
    <xf numFmtId="164" fontId="51" fillId="0" borderId="32" xfId="2" applyFont="1" applyFill="1" applyBorder="1" applyAlignment="1" applyProtection="1">
      <alignment horizontal="center" vertical="center" wrapText="1"/>
    </xf>
    <xf numFmtId="165" fontId="51" fillId="0" borderId="56" xfId="2" applyNumberFormat="1" applyFont="1" applyFill="1" applyBorder="1" applyAlignment="1" applyProtection="1">
      <alignment horizontal="right" vertical="center"/>
    </xf>
    <xf numFmtId="0" fontId="8" fillId="0" borderId="48" xfId="0" applyFont="1" applyFill="1" applyBorder="1" applyAlignment="1" applyProtection="1">
      <alignment horizontal="center" vertical="center" wrapText="1"/>
    </xf>
    <xf numFmtId="1" fontId="8" fillId="0" borderId="55" xfId="0" applyNumberFormat="1" applyFont="1" applyFill="1" applyBorder="1" applyAlignment="1" applyProtection="1">
      <alignment horizontal="center" vertical="center"/>
    </xf>
    <xf numFmtId="164" fontId="8" fillId="0" borderId="4" xfId="2" applyFont="1" applyFill="1" applyBorder="1" applyAlignment="1" applyProtection="1">
      <alignment horizontal="center" vertical="center" wrapText="1"/>
      <protection locked="0"/>
    </xf>
    <xf numFmtId="0" fontId="12" fillId="13" borderId="0" xfId="0" applyFont="1" applyFill="1" applyAlignment="1" applyProtection="1">
      <alignment horizontal="center" vertical="center"/>
      <protection locked="0"/>
    </xf>
    <xf numFmtId="0" fontId="70" fillId="0" borderId="0" xfId="0" applyFont="1" applyProtection="1">
      <protection locked="0"/>
    </xf>
    <xf numFmtId="0" fontId="0" fillId="0" borderId="0" xfId="0" applyFont="1" applyProtection="1">
      <protection locked="0"/>
    </xf>
    <xf numFmtId="0" fontId="39" fillId="0" borderId="0" xfId="0" applyFont="1" applyAlignment="1" applyProtection="1">
      <alignment vertical="center"/>
    </xf>
    <xf numFmtId="0" fontId="40" fillId="0" borderId="0" xfId="0" applyFont="1" applyAlignment="1">
      <alignment horizontal="left" vertical="center"/>
    </xf>
    <xf numFmtId="0" fontId="48" fillId="0" borderId="0" xfId="0" applyFont="1" applyFill="1" applyAlignment="1" applyProtection="1">
      <alignment horizontal="center" vertical="center"/>
    </xf>
    <xf numFmtId="0" fontId="53" fillId="0" borderId="0" xfId="0" applyFont="1" applyFill="1" applyBorder="1" applyAlignment="1" applyProtection="1">
      <alignment vertical="top" wrapText="1"/>
    </xf>
    <xf numFmtId="0" fontId="12" fillId="0" borderId="0" xfId="0" applyFont="1" applyAlignment="1">
      <alignment horizontal="right"/>
    </xf>
    <xf numFmtId="0" fontId="4" fillId="8" borderId="62" xfId="0" applyFont="1" applyFill="1" applyBorder="1" applyAlignment="1" applyProtection="1">
      <alignment horizontal="center" vertical="center"/>
    </xf>
    <xf numFmtId="0" fontId="4" fillId="9" borderId="62" xfId="0" applyFont="1" applyFill="1" applyBorder="1" applyAlignment="1" applyProtection="1">
      <alignment horizontal="center" vertical="center"/>
    </xf>
    <xf numFmtId="0" fontId="4" fillId="10" borderId="62" xfId="0" applyFont="1" applyFill="1" applyBorder="1" applyAlignment="1" applyProtection="1">
      <alignment horizontal="center" vertical="center"/>
    </xf>
    <xf numFmtId="0" fontId="4" fillId="8" borderId="60" xfId="0" applyFont="1" applyFill="1" applyBorder="1" applyAlignment="1" applyProtection="1">
      <alignment horizontal="center" vertical="center"/>
    </xf>
    <xf numFmtId="0" fontId="4" fillId="9" borderId="60" xfId="0" applyFont="1" applyFill="1" applyBorder="1" applyAlignment="1" applyProtection="1">
      <alignment horizontal="center" vertical="center"/>
    </xf>
    <xf numFmtId="0" fontId="4" fillId="10" borderId="60" xfId="0" applyFont="1" applyFill="1" applyBorder="1" applyAlignment="1" applyProtection="1">
      <alignment horizontal="center" vertical="center"/>
    </xf>
    <xf numFmtId="173" fontId="4" fillId="0" borderId="32" xfId="0" applyNumberFormat="1" applyFont="1" applyFill="1" applyBorder="1" applyAlignment="1" applyProtection="1">
      <alignment horizontal="center" vertical="center"/>
    </xf>
    <xf numFmtId="173" fontId="4" fillId="8" borderId="32" xfId="0" applyNumberFormat="1" applyFont="1" applyFill="1" applyBorder="1" applyAlignment="1" applyProtection="1">
      <alignment horizontal="center" vertical="center"/>
    </xf>
    <xf numFmtId="0" fontId="4" fillId="8" borderId="62" xfId="0" applyFont="1" applyFill="1" applyBorder="1" applyAlignment="1" applyProtection="1">
      <alignment horizontal="center"/>
    </xf>
    <xf numFmtId="0" fontId="4" fillId="9" borderId="62" xfId="0" applyFont="1" applyFill="1" applyBorder="1" applyAlignment="1" applyProtection="1">
      <alignment horizontal="center"/>
    </xf>
    <xf numFmtId="0" fontId="4" fillId="10" borderId="62" xfId="0" applyFont="1" applyFill="1" applyBorder="1" applyAlignment="1" applyProtection="1">
      <alignment horizontal="center"/>
    </xf>
    <xf numFmtId="0" fontId="4" fillId="8" borderId="60" xfId="0" applyFont="1" applyFill="1" applyBorder="1" applyAlignment="1" applyProtection="1">
      <alignment horizontal="center"/>
    </xf>
    <xf numFmtId="0" fontId="4" fillId="9" borderId="60" xfId="0" applyFont="1" applyFill="1" applyBorder="1" applyAlignment="1" applyProtection="1">
      <alignment horizontal="center"/>
    </xf>
    <xf numFmtId="0" fontId="4" fillId="10" borderId="60" xfId="0"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36" fillId="0" borderId="0" xfId="0" applyFont="1" applyFill="1" applyBorder="1" applyAlignment="1">
      <alignment horizontal="right" vertical="center"/>
    </xf>
    <xf numFmtId="0" fontId="2" fillId="0" borderId="0" xfId="0" applyFont="1" applyProtection="1">
      <protection locked="0"/>
    </xf>
    <xf numFmtId="0" fontId="2" fillId="0" borderId="0" xfId="0" applyFont="1" applyAlignment="1">
      <alignment vertical="top"/>
    </xf>
    <xf numFmtId="1" fontId="9" fillId="0" borderId="4" xfId="0" applyNumberFormat="1" applyFont="1" applyFill="1" applyBorder="1" applyAlignment="1">
      <alignment horizontal="right" vertical="center" wrapText="1"/>
    </xf>
    <xf numFmtId="1" fontId="9" fillId="0" borderId="4" xfId="0" applyNumberFormat="1" applyFont="1" applyFill="1" applyBorder="1" applyAlignment="1">
      <alignment horizontal="left" vertical="center" wrapText="1"/>
    </xf>
    <xf numFmtId="1" fontId="9" fillId="0" borderId="0" xfId="0" applyNumberFormat="1" applyFont="1" applyFill="1" applyBorder="1" applyAlignment="1">
      <alignment horizontal="left" vertical="center"/>
    </xf>
    <xf numFmtId="0" fontId="27" fillId="0" borderId="0" xfId="6" applyProtection="1"/>
    <xf numFmtId="0" fontId="74" fillId="0" borderId="66" xfId="6" applyFont="1" applyFill="1" applyBorder="1" applyAlignment="1" applyProtection="1">
      <alignment horizontal="right"/>
    </xf>
    <xf numFmtId="0" fontId="1" fillId="0" borderId="0" xfId="6" applyFont="1" applyAlignment="1" applyProtection="1">
      <alignment horizontal="center"/>
    </xf>
    <xf numFmtId="0" fontId="27" fillId="0" borderId="0" xfId="6" applyAlignment="1" applyProtection="1">
      <alignment horizontal="center"/>
    </xf>
    <xf numFmtId="0" fontId="27" fillId="0" borderId="0" xfId="6" applyAlignment="1" applyProtection="1">
      <alignment horizontal="right"/>
    </xf>
    <xf numFmtId="1" fontId="27" fillId="0" borderId="68" xfId="6" applyNumberFormat="1" applyFill="1" applyBorder="1" applyAlignment="1" applyProtection="1">
      <alignment horizontal="center"/>
    </xf>
    <xf numFmtId="1" fontId="27" fillId="0" borderId="0" xfId="6" applyNumberFormat="1" applyFill="1" applyAlignment="1" applyProtection="1">
      <alignment horizontal="center"/>
    </xf>
    <xf numFmtId="0" fontId="27" fillId="0" borderId="0" xfId="6" applyFill="1" applyProtection="1"/>
    <xf numFmtId="1" fontId="75" fillId="14" borderId="68" xfId="6" applyNumberFormat="1" applyFont="1" applyFill="1" applyBorder="1" applyAlignment="1" applyProtection="1">
      <alignment horizontal="center" vertical="center"/>
    </xf>
    <xf numFmtId="1" fontId="27" fillId="0" borderId="0" xfId="6" applyNumberFormat="1" applyFill="1" applyAlignment="1" applyProtection="1">
      <alignment horizontal="center" vertical="center"/>
    </xf>
    <xf numFmtId="1" fontId="75" fillId="0" borderId="0" xfId="6" applyNumberFormat="1" applyFont="1" applyFill="1" applyBorder="1" applyAlignment="1" applyProtection="1">
      <alignment horizontal="center" vertical="center"/>
    </xf>
    <xf numFmtId="1" fontId="75" fillId="9" borderId="68" xfId="6" applyNumberFormat="1" applyFont="1" applyFill="1" applyBorder="1" applyAlignment="1" applyProtection="1">
      <alignment horizontal="center" vertical="center"/>
    </xf>
    <xf numFmtId="1" fontId="27" fillId="0" borderId="0" xfId="6" applyNumberFormat="1" applyFill="1" applyBorder="1" applyProtection="1"/>
    <xf numFmtId="0" fontId="27" fillId="11" borderId="71" xfId="6" applyFill="1" applyBorder="1" applyAlignment="1" applyProtection="1">
      <alignment horizontal="right"/>
    </xf>
    <xf numFmtId="1" fontId="27" fillId="11" borderId="2" xfId="6" applyNumberFormat="1" applyFill="1" applyBorder="1" applyAlignment="1" applyProtection="1">
      <alignment horizontal="center"/>
    </xf>
    <xf numFmtId="1" fontId="27" fillId="11" borderId="2" xfId="6" applyNumberFormat="1" applyFill="1" applyBorder="1" applyProtection="1"/>
    <xf numFmtId="1" fontId="27" fillId="11" borderId="57" xfId="6" applyNumberFormat="1" applyFill="1" applyBorder="1" applyAlignment="1" applyProtection="1">
      <alignment horizontal="center"/>
    </xf>
    <xf numFmtId="0" fontId="27" fillId="11" borderId="72" xfId="6" applyFill="1" applyBorder="1" applyAlignment="1" applyProtection="1">
      <alignment horizontal="right" wrapText="1"/>
    </xf>
    <xf numFmtId="2" fontId="27" fillId="11" borderId="61" xfId="6" applyNumberFormat="1" applyFill="1" applyBorder="1" applyAlignment="1" applyProtection="1">
      <alignment horizontal="center" vertical="center"/>
    </xf>
    <xf numFmtId="2" fontId="27" fillId="11" borderId="61" xfId="6" applyNumberFormat="1" applyFill="1" applyBorder="1" applyProtection="1"/>
    <xf numFmtId="2" fontId="27" fillId="11" borderId="73" xfId="6" applyNumberFormat="1" applyFill="1" applyBorder="1" applyAlignment="1" applyProtection="1">
      <alignment horizontal="center" vertical="center"/>
    </xf>
    <xf numFmtId="0" fontId="27" fillId="0" borderId="0" xfId="6" applyAlignment="1" applyProtection="1">
      <alignment wrapText="1"/>
    </xf>
    <xf numFmtId="2" fontId="27" fillId="0" borderId="0" xfId="6" applyNumberFormat="1" applyProtection="1"/>
    <xf numFmtId="1" fontId="20" fillId="7" borderId="2" xfId="0" applyNumberFormat="1"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51" fillId="0" borderId="4" xfId="0" applyFont="1" applyFill="1" applyBorder="1" applyAlignment="1" applyProtection="1">
      <alignment horizontal="center" vertical="center" wrapText="1"/>
    </xf>
    <xf numFmtId="0" fontId="51" fillId="0" borderId="29" xfId="0" applyFont="1" applyFill="1" applyBorder="1" applyAlignment="1" applyProtection="1">
      <alignment horizontal="center" vertical="center" wrapText="1"/>
    </xf>
    <xf numFmtId="0" fontId="51" fillId="0" borderId="4"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protection locked="0"/>
    </xf>
    <xf numFmtId="0" fontId="7" fillId="0" borderId="3" xfId="0" applyFont="1" applyBorder="1"/>
    <xf numFmtId="166" fontId="12" fillId="0" borderId="0" xfId="0" applyNumberFormat="1" applyFont="1"/>
    <xf numFmtId="1" fontId="12" fillId="0" borderId="0" xfId="0" applyNumberFormat="1" applyFont="1"/>
    <xf numFmtId="0" fontId="0" fillId="2" borderId="74" xfId="0" applyFill="1" applyBorder="1" applyAlignment="1" applyProtection="1">
      <protection locked="0"/>
    </xf>
    <xf numFmtId="0" fontId="40" fillId="0" borderId="0" xfId="0" applyFont="1" applyFill="1" applyBorder="1" applyAlignment="1" applyProtection="1">
      <alignment horizontal="left" vertical="center"/>
      <protection locked="0"/>
    </xf>
    <xf numFmtId="164" fontId="8" fillId="0" borderId="36" xfId="2" applyFont="1" applyFill="1" applyBorder="1" applyAlignment="1" applyProtection="1">
      <alignment horizontal="center" vertical="center" wrapText="1"/>
    </xf>
    <xf numFmtId="165" fontId="8" fillId="0" borderId="76" xfId="2" applyNumberFormat="1" applyFont="1" applyFill="1" applyBorder="1" applyAlignment="1" applyProtection="1">
      <alignment horizontal="right" vertical="center"/>
    </xf>
    <xf numFmtId="0" fontId="8" fillId="0" borderId="59" xfId="0" applyFont="1" applyFill="1" applyBorder="1" applyAlignment="1" applyProtection="1">
      <alignment horizontal="center" vertical="center"/>
    </xf>
    <xf numFmtId="1" fontId="8" fillId="0" borderId="32" xfId="0" applyNumberFormat="1" applyFont="1" applyFill="1" applyBorder="1" applyAlignment="1" applyProtection="1">
      <alignment horizontal="center" vertical="center" wrapText="1"/>
    </xf>
    <xf numFmtId="2" fontId="51" fillId="0" borderId="4" xfId="2" applyNumberFormat="1" applyFont="1" applyFill="1" applyBorder="1" applyAlignment="1" applyProtection="1">
      <alignment horizontal="right" vertical="center" wrapText="1"/>
    </xf>
    <xf numFmtId="2" fontId="51" fillId="0" borderId="57" xfId="2" applyNumberFormat="1" applyFont="1" applyFill="1" applyBorder="1" applyAlignment="1" applyProtection="1">
      <alignment horizontal="right" vertical="center"/>
    </xf>
    <xf numFmtId="0" fontId="67" fillId="0" borderId="0" xfId="0" applyFont="1" applyAlignment="1" applyProtection="1">
      <alignment vertical="top"/>
    </xf>
    <xf numFmtId="0" fontId="1" fillId="0" borderId="0" xfId="0" applyFont="1" applyProtection="1"/>
    <xf numFmtId="0" fontId="0" fillId="0" borderId="0" xfId="0" applyAlignment="1" applyProtection="1">
      <alignment horizontal="left" indent="2"/>
    </xf>
    <xf numFmtId="0" fontId="0" fillId="0" borderId="0" xfId="0" applyAlignment="1" applyProtection="1">
      <alignment horizontal="center" vertical="center"/>
    </xf>
    <xf numFmtId="0" fontId="0" fillId="0" borderId="0" xfId="0" applyAlignment="1" applyProtection="1">
      <alignment horizontal="left" vertical="top" indent="2"/>
    </xf>
    <xf numFmtId="0" fontId="0" fillId="0" borderId="0" xfId="0" applyAlignment="1" applyProtection="1">
      <alignment horizontal="center" vertical="top"/>
    </xf>
    <xf numFmtId="0" fontId="70" fillId="0" borderId="0" xfId="0" applyFont="1" applyProtection="1"/>
    <xf numFmtId="0" fontId="0" fillId="0" borderId="0" xfId="0" applyAlignment="1" applyProtection="1">
      <alignment horizontal="right"/>
    </xf>
    <xf numFmtId="0" fontId="0" fillId="0" borderId="0" xfId="0" applyAlignment="1" applyProtection="1">
      <alignment horizontal="left" indent="4"/>
    </xf>
    <xf numFmtId="0" fontId="78" fillId="0" borderId="0" xfId="0" applyFont="1" applyAlignment="1" applyProtection="1">
      <alignment horizontal="right" vertical="top"/>
    </xf>
    <xf numFmtId="0" fontId="77" fillId="0" borderId="0" xfId="0" applyFont="1" applyAlignment="1" applyProtection="1">
      <alignment horizontal="left" vertical="top" wrapText="1"/>
    </xf>
    <xf numFmtId="0" fontId="1" fillId="0" borderId="0" xfId="0" applyFont="1" applyAlignment="1" applyProtection="1">
      <alignment horizontal="right"/>
    </xf>
    <xf numFmtId="0" fontId="4" fillId="0" borderId="2" xfId="0" applyFont="1" applyBorder="1" applyAlignment="1" applyProtection="1">
      <alignment vertical="center"/>
    </xf>
    <xf numFmtId="0" fontId="0" fillId="0" borderId="2" xfId="0" applyBorder="1" applyProtection="1"/>
    <xf numFmtId="14" fontId="8" fillId="0" borderId="3" xfId="0" applyNumberFormat="1" applyFont="1" applyBorder="1" applyAlignment="1" applyProtection="1"/>
    <xf numFmtId="0" fontId="9" fillId="0" borderId="12" xfId="0" applyFont="1" applyFill="1" applyBorder="1" applyAlignment="1">
      <alignment horizontal="right"/>
    </xf>
    <xf numFmtId="165" fontId="8" fillId="0" borderId="57" xfId="2" applyNumberFormat="1" applyFont="1" applyFill="1" applyBorder="1" applyAlignment="1" applyProtection="1">
      <alignment horizontal="right" vertical="center"/>
      <protection locked="0"/>
    </xf>
    <xf numFmtId="0" fontId="8" fillId="0" borderId="55" xfId="0" applyFont="1" applyFill="1" applyBorder="1" applyAlignment="1" applyProtection="1">
      <alignment horizontal="center" vertical="center"/>
    </xf>
    <xf numFmtId="0" fontId="51" fillId="0" borderId="3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protection locked="0"/>
    </xf>
    <xf numFmtId="0" fontId="9" fillId="0" borderId="20" xfId="0" applyFont="1" applyFill="1" applyBorder="1" applyAlignment="1">
      <alignment horizontal="center" vertical="center"/>
    </xf>
    <xf numFmtId="0" fontId="9" fillId="2" borderId="20" xfId="0" applyFont="1" applyFill="1" applyBorder="1" applyAlignment="1" applyProtection="1">
      <alignment horizontal="center" vertical="center"/>
      <protection locked="0"/>
    </xf>
    <xf numFmtId="0" fontId="9" fillId="0" borderId="15" xfId="0" applyFont="1" applyFill="1" applyBorder="1" applyAlignment="1">
      <alignment vertical="center"/>
    </xf>
    <xf numFmtId="0" fontId="9" fillId="0" borderId="0" xfId="0" applyFont="1" applyFill="1" applyBorder="1" applyAlignment="1">
      <alignment horizontal="right"/>
    </xf>
    <xf numFmtId="0" fontId="9" fillId="0" borderId="0"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2" fontId="51" fillId="0" borderId="4" xfId="2" applyNumberFormat="1" applyFont="1" applyFill="1" applyBorder="1" applyAlignment="1" applyProtection="1">
      <alignment horizontal="right" vertical="center" wrapText="1"/>
      <protection locked="0"/>
    </xf>
    <xf numFmtId="2" fontId="51" fillId="0" borderId="57" xfId="2" applyNumberFormat="1" applyFont="1" applyFill="1" applyBorder="1" applyAlignment="1" applyProtection="1">
      <alignment horizontal="center" vertical="center"/>
      <protection locked="0"/>
    </xf>
    <xf numFmtId="0" fontId="5" fillId="0" borderId="0" xfId="0" applyFont="1" applyProtection="1">
      <protection locked="0"/>
    </xf>
    <xf numFmtId="4" fontId="20" fillId="7" borderId="54" xfId="0" applyNumberFormat="1" applyFont="1" applyFill="1" applyBorder="1" applyAlignment="1" applyProtection="1">
      <alignment horizontal="center" vertical="center"/>
    </xf>
    <xf numFmtId="0" fontId="0" fillId="5" borderId="0" xfId="0" applyFont="1" applyFill="1" applyAlignment="1">
      <alignment horizontal="left" vertical="center" wrapText="1"/>
    </xf>
    <xf numFmtId="0" fontId="0" fillId="5" borderId="0" xfId="0" applyFont="1" applyFill="1" applyBorder="1" applyAlignment="1">
      <alignment horizontal="left" vertical="center" wrapText="1"/>
    </xf>
    <xf numFmtId="0" fontId="12" fillId="5" borderId="0" xfId="0" applyFont="1" applyFill="1" applyAlignment="1" applyProtection="1">
      <alignment horizontal="left" vertical="center" wrapText="1"/>
    </xf>
    <xf numFmtId="0" fontId="13" fillId="5" borderId="0" xfId="0" applyFont="1" applyFill="1" applyAlignment="1" applyProtection="1">
      <alignment horizontal="left" vertical="center" wrapText="1"/>
    </xf>
    <xf numFmtId="165" fontId="37" fillId="0" borderId="0" xfId="0" applyNumberFormat="1" applyFont="1" applyAlignment="1" applyProtection="1">
      <alignment horizontal="center" vertical="center"/>
    </xf>
    <xf numFmtId="0" fontId="8" fillId="0" borderId="59"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wrapText="1"/>
      <protection locked="0"/>
    </xf>
    <xf numFmtId="0" fontId="51" fillId="0" borderId="29" xfId="0" applyFont="1" applyFill="1" applyBorder="1" applyAlignment="1" applyProtection="1">
      <alignment horizontal="center" vertical="center" wrapText="1"/>
      <protection locked="0"/>
    </xf>
    <xf numFmtId="164" fontId="8" fillId="0" borderId="29" xfId="2" applyFont="1" applyFill="1" applyBorder="1" applyAlignment="1" applyProtection="1">
      <alignment horizontal="center" vertical="center" wrapText="1"/>
      <protection locked="0"/>
    </xf>
    <xf numFmtId="165" fontId="8" fillId="0" borderId="82" xfId="2" applyNumberFormat="1" applyFont="1" applyFill="1" applyBorder="1" applyAlignment="1" applyProtection="1">
      <alignment horizontal="right" vertical="center"/>
      <protection locked="0"/>
    </xf>
    <xf numFmtId="0" fontId="9" fillId="0" borderId="0" xfId="0" applyFont="1" applyFill="1" applyBorder="1" applyAlignment="1">
      <alignment vertical="center"/>
    </xf>
    <xf numFmtId="0" fontId="9" fillId="0" borderId="0" xfId="0" applyFont="1" applyBorder="1" applyAlignment="1">
      <alignment horizontal="left" vertical="center"/>
    </xf>
    <xf numFmtId="0" fontId="83" fillId="0" borderId="0" xfId="0" applyFont="1" applyAlignment="1" applyProtection="1">
      <alignment horizontal="center" vertical="center"/>
    </xf>
    <xf numFmtId="0" fontId="35" fillId="0" borderId="0" xfId="0" applyFont="1" applyAlignment="1" applyProtection="1">
      <alignment horizontal="right" vertical="center"/>
    </xf>
    <xf numFmtId="174" fontId="20" fillId="2" borderId="0" xfId="0" applyNumberFormat="1" applyFont="1" applyFill="1" applyAlignment="1" applyProtection="1">
      <alignment horizontal="center" vertical="center"/>
      <protection locked="0"/>
    </xf>
    <xf numFmtId="174" fontId="20" fillId="0" borderId="0" xfId="0" applyNumberFormat="1" applyFont="1" applyAlignment="1" applyProtection="1">
      <alignment horizontal="center" vertical="center"/>
      <protection locked="0"/>
    </xf>
    <xf numFmtId="2" fontId="35" fillId="0" borderId="0" xfId="0" applyNumberFormat="1" applyFont="1" applyAlignment="1" applyProtection="1">
      <alignment horizontal="center" vertical="center"/>
    </xf>
    <xf numFmtId="0" fontId="83" fillId="0" borderId="0" xfId="0" applyFont="1" applyFill="1" applyAlignment="1" applyProtection="1">
      <alignment horizontal="center" vertical="center"/>
    </xf>
    <xf numFmtId="174" fontId="20" fillId="0" borderId="0" xfId="0" applyNumberFormat="1" applyFont="1" applyFill="1" applyAlignment="1" applyProtection="1">
      <alignment horizontal="center" vertical="center"/>
      <protection locked="0"/>
    </xf>
    <xf numFmtId="0" fontId="35" fillId="0" borderId="0" xfId="0" applyFont="1" applyFill="1" applyAlignment="1" applyProtection="1">
      <alignment vertical="center"/>
    </xf>
    <xf numFmtId="0" fontId="35" fillId="0" borderId="0" xfId="0" applyFont="1" applyFill="1" applyAlignment="1" applyProtection="1">
      <alignment horizontal="right" vertical="center"/>
    </xf>
    <xf numFmtId="0" fontId="46" fillId="0" borderId="0" xfId="0" applyFont="1" applyFill="1" applyAlignment="1" applyProtection="1">
      <alignment vertical="center"/>
    </xf>
    <xf numFmtId="2" fontId="35" fillId="0" borderId="0" xfId="0" applyNumberFormat="1" applyFont="1" applyFill="1" applyAlignment="1" applyProtection="1">
      <alignment horizontal="center" vertical="center"/>
    </xf>
    <xf numFmtId="2" fontId="20" fillId="0" borderId="0" xfId="0" applyNumberFormat="1" applyFont="1" applyFill="1" applyAlignment="1" applyProtection="1">
      <alignment horizontal="center" vertical="center"/>
    </xf>
    <xf numFmtId="0" fontId="8" fillId="15" borderId="58" xfId="0" applyFont="1" applyFill="1" applyBorder="1" applyAlignment="1" applyProtection="1">
      <alignment horizontal="center" vertical="center"/>
      <protection locked="0"/>
    </xf>
    <xf numFmtId="0" fontId="8" fillId="15" borderId="4" xfId="0" applyFont="1" applyFill="1" applyBorder="1" applyAlignment="1" applyProtection="1">
      <alignment horizontal="center" vertical="center" wrapText="1"/>
      <protection locked="0"/>
    </xf>
    <xf numFmtId="0" fontId="51" fillId="15" borderId="4" xfId="0" applyFont="1" applyFill="1" applyBorder="1" applyAlignment="1" applyProtection="1">
      <alignment horizontal="center" vertical="center" wrapText="1"/>
      <protection locked="0"/>
    </xf>
    <xf numFmtId="0" fontId="8" fillId="15" borderId="4" xfId="0" applyFont="1" applyFill="1" applyBorder="1" applyAlignment="1" applyProtection="1">
      <alignment horizontal="center" vertical="center"/>
    </xf>
    <xf numFmtId="164" fontId="8" fillId="15" borderId="4" xfId="2" applyFont="1" applyFill="1" applyBorder="1" applyAlignment="1" applyProtection="1">
      <alignment horizontal="center" vertical="center" wrapText="1"/>
      <protection locked="0"/>
    </xf>
    <xf numFmtId="165" fontId="8" fillId="15" borderId="57" xfId="2" applyNumberFormat="1" applyFont="1" applyFill="1" applyBorder="1" applyAlignment="1" applyProtection="1">
      <alignment horizontal="right" vertical="center"/>
      <protection locked="0"/>
    </xf>
    <xf numFmtId="165" fontId="44" fillId="0" borderId="0" xfId="0" applyNumberFormat="1" applyFont="1" applyFill="1" applyAlignment="1" applyProtection="1">
      <alignment vertical="center"/>
    </xf>
    <xf numFmtId="0" fontId="44" fillId="0" borderId="0" xfId="0" applyFont="1" applyFill="1" applyAlignment="1" applyProtection="1">
      <alignment vertical="center"/>
    </xf>
    <xf numFmtId="2" fontId="44" fillId="0" borderId="0" xfId="0" applyNumberFormat="1" applyFont="1" applyFill="1" applyAlignment="1" applyProtection="1">
      <alignment vertical="center"/>
    </xf>
    <xf numFmtId="0" fontId="84" fillId="0" borderId="0" xfId="0" applyFont="1" applyFill="1" applyAlignment="1" applyProtection="1">
      <alignment vertical="center"/>
    </xf>
    <xf numFmtId="0" fontId="8" fillId="15" borderId="83" xfId="0" applyFont="1" applyFill="1" applyBorder="1" applyAlignment="1" applyProtection="1">
      <alignment horizontal="center" vertical="center"/>
    </xf>
    <xf numFmtId="0" fontId="8" fillId="15" borderId="36" xfId="0" applyFont="1" applyFill="1" applyBorder="1" applyAlignment="1" applyProtection="1">
      <alignment horizontal="center" vertical="center" wrapText="1"/>
    </xf>
    <xf numFmtId="0" fontId="51" fillId="15" borderId="36" xfId="0" applyFont="1" applyFill="1" applyBorder="1" applyAlignment="1" applyProtection="1">
      <alignment horizontal="center" vertical="center" wrapText="1"/>
    </xf>
    <xf numFmtId="0" fontId="8" fillId="15" borderId="36" xfId="0" applyFont="1" applyFill="1" applyBorder="1" applyAlignment="1" applyProtection="1">
      <alignment horizontal="center" vertical="center"/>
    </xf>
    <xf numFmtId="164" fontId="8" fillId="15" borderId="4" xfId="2" applyFont="1" applyFill="1" applyBorder="1" applyAlignment="1" applyProtection="1">
      <alignment horizontal="center" vertical="center" wrapText="1"/>
    </xf>
    <xf numFmtId="165" fontId="8" fillId="15" borderId="57" xfId="2" applyNumberFormat="1" applyFont="1" applyFill="1" applyBorder="1" applyAlignment="1" applyProtection="1">
      <alignment horizontal="right" vertical="center"/>
    </xf>
    <xf numFmtId="0" fontId="51" fillId="0" borderId="0" xfId="0" applyFont="1" applyBorder="1" applyAlignment="1" applyProtection="1">
      <alignment vertical="center"/>
    </xf>
    <xf numFmtId="0" fontId="84" fillId="0" borderId="0" xfId="0" applyFont="1" applyAlignment="1" applyProtection="1">
      <alignment vertical="center"/>
    </xf>
    <xf numFmtId="0" fontId="8" fillId="0" borderId="6" xfId="0" applyNumberFormat="1" applyFont="1" applyFill="1" applyBorder="1" applyAlignment="1" applyProtection="1">
      <alignment horizontal="left" vertical="center"/>
      <protection locked="0"/>
    </xf>
    <xf numFmtId="0" fontId="8" fillId="0" borderId="7" xfId="0" applyNumberFormat="1" applyFont="1" applyFill="1" applyBorder="1" applyAlignment="1" applyProtection="1">
      <alignment horizontal="left" vertical="center"/>
      <protection locked="0"/>
    </xf>
    <xf numFmtId="0" fontId="8" fillId="0" borderId="5" xfId="0" applyNumberFormat="1" applyFont="1" applyFill="1" applyBorder="1" applyAlignment="1" applyProtection="1">
      <alignment horizontal="left" vertical="center"/>
      <protection locked="0"/>
    </xf>
    <xf numFmtId="0" fontId="77" fillId="0" borderId="0" xfId="0" applyFont="1" applyAlignment="1" applyProtection="1">
      <alignment horizontal="left" vertical="top" wrapText="1"/>
    </xf>
    <xf numFmtId="0" fontId="35" fillId="4" borderId="0" xfId="0" applyFont="1" applyFill="1" applyAlignment="1" applyProtection="1">
      <alignment vertical="center"/>
      <protection locked="0"/>
    </xf>
    <xf numFmtId="0" fontId="8" fillId="0" borderId="41" xfId="0" applyFont="1" applyFill="1" applyBorder="1" applyAlignment="1" applyProtection="1">
      <alignment horizontal="right" vertical="center"/>
    </xf>
    <xf numFmtId="4" fontId="8" fillId="0" borderId="41" xfId="2" applyNumberFormat="1" applyFont="1" applyFill="1" applyBorder="1" applyAlignment="1" applyProtection="1">
      <alignment horizontal="right" vertical="center"/>
    </xf>
    <xf numFmtId="0" fontId="8" fillId="0" borderId="0" xfId="0" applyFont="1" applyFill="1" applyBorder="1" applyAlignment="1" applyProtection="1">
      <alignment horizontal="right" vertical="center"/>
    </xf>
    <xf numFmtId="4" fontId="8" fillId="0" borderId="0" xfId="2" applyNumberFormat="1" applyFont="1" applyFill="1" applyBorder="1" applyAlignment="1" applyProtection="1">
      <alignment horizontal="right" vertical="center"/>
    </xf>
    <xf numFmtId="4" fontId="20" fillId="7" borderId="84" xfId="0" applyNumberFormat="1"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52" fillId="0" borderId="4" xfId="0" applyFont="1" applyFill="1" applyBorder="1" applyAlignment="1" applyProtection="1">
      <alignment horizontal="left" vertical="center"/>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vertical="center"/>
      <protection locked="0"/>
    </xf>
    <xf numFmtId="164" fontId="37" fillId="0" borderId="0" xfId="0" applyNumberFormat="1" applyFont="1" applyFill="1" applyBorder="1" applyAlignment="1" applyProtection="1">
      <alignment vertical="center"/>
      <protection locked="0"/>
    </xf>
    <xf numFmtId="164" fontId="25" fillId="4" borderId="0" xfId="2" applyFont="1" applyFill="1" applyAlignment="1" applyProtection="1">
      <alignment vertical="center"/>
      <protection locked="0"/>
    </xf>
    <xf numFmtId="0" fontId="8" fillId="0" borderId="0" xfId="0" applyFont="1" applyBorder="1" applyAlignment="1" applyProtection="1">
      <alignment horizontal="right" vertical="center"/>
      <protection locked="0"/>
    </xf>
    <xf numFmtId="164" fontId="35" fillId="4" borderId="0" xfId="0" applyNumberFormat="1" applyFont="1" applyFill="1" applyAlignment="1" applyProtection="1">
      <alignment vertical="center"/>
      <protection locked="0"/>
    </xf>
    <xf numFmtId="164" fontId="8" fillId="15" borderId="32" xfId="2" applyFont="1" applyFill="1" applyBorder="1" applyAlignment="1" applyProtection="1">
      <alignment horizontal="center" vertical="center" wrapText="1"/>
    </xf>
    <xf numFmtId="165" fontId="8" fillId="15" borderId="56" xfId="2" applyNumberFormat="1" applyFont="1" applyFill="1" applyBorder="1" applyAlignment="1" applyProtection="1">
      <alignment horizontal="right" vertical="center"/>
    </xf>
    <xf numFmtId="0" fontId="8" fillId="15" borderId="58" xfId="0" applyFont="1" applyFill="1" applyBorder="1" applyAlignment="1" applyProtection="1">
      <alignment horizontal="center" vertical="center"/>
    </xf>
    <xf numFmtId="0" fontId="8" fillId="15" borderId="29" xfId="0" applyFont="1" applyFill="1" applyBorder="1" applyAlignment="1" applyProtection="1">
      <alignment horizontal="center" vertical="center" wrapText="1"/>
    </xf>
    <xf numFmtId="0" fontId="51" fillId="15" borderId="29" xfId="0" applyFont="1" applyFill="1" applyBorder="1" applyAlignment="1" applyProtection="1">
      <alignment horizontal="center" vertical="center" wrapText="1"/>
    </xf>
    <xf numFmtId="0" fontId="8" fillId="15" borderId="29" xfId="0" applyFont="1" applyFill="1" applyBorder="1" applyAlignment="1" applyProtection="1">
      <alignment horizontal="center" vertical="center"/>
    </xf>
    <xf numFmtId="164" fontId="51" fillId="15" borderId="32" xfId="2" applyFont="1" applyFill="1" applyBorder="1" applyAlignment="1" applyProtection="1">
      <alignment horizontal="center" vertical="center" wrapText="1"/>
    </xf>
    <xf numFmtId="165" fontId="51" fillId="15" borderId="56" xfId="2" applyNumberFormat="1" applyFont="1" applyFill="1" applyBorder="1" applyAlignment="1" applyProtection="1">
      <alignment horizontal="right" vertical="center"/>
    </xf>
    <xf numFmtId="0" fontId="9" fillId="2" borderId="81" xfId="0" applyFont="1" applyFill="1" applyBorder="1" applyAlignment="1" applyProtection="1">
      <alignment horizontal="center" vertical="center"/>
      <protection locked="0"/>
    </xf>
    <xf numFmtId="0" fontId="9" fillId="0" borderId="0" xfId="0" applyFont="1" applyBorder="1" applyAlignment="1">
      <alignment horizontal="center" vertical="center"/>
    </xf>
    <xf numFmtId="0" fontId="0" fillId="0" borderId="1" xfId="0" applyBorder="1"/>
    <xf numFmtId="0" fontId="0" fillId="2" borderId="4" xfId="0" applyFill="1" applyBorder="1" applyAlignment="1">
      <alignment horizontal="center" vertical="center"/>
    </xf>
    <xf numFmtId="0" fontId="0" fillId="0" borderId="2" xfId="0" applyBorder="1" applyAlignment="1">
      <alignment horizontal="right" vertical="center"/>
    </xf>
    <xf numFmtId="2" fontId="63" fillId="2" borderId="0" xfId="4" applyNumberFormat="1" applyFont="1" applyFill="1" applyBorder="1"/>
    <xf numFmtId="2" fontId="61" fillId="2" borderId="0" xfId="4" applyNumberFormat="1" applyFont="1" applyFill="1" applyBorder="1"/>
    <xf numFmtId="2" fontId="0" fillId="0" borderId="0" xfId="0" applyNumberFormat="1"/>
    <xf numFmtId="2" fontId="61" fillId="0" borderId="0" xfId="4" applyNumberFormat="1" applyFont="1" applyFill="1" applyBorder="1"/>
    <xf numFmtId="2" fontId="82" fillId="0" borderId="0" xfId="0" applyNumberFormat="1" applyFont="1" applyFill="1" applyBorder="1"/>
    <xf numFmtId="2" fontId="0" fillId="0" borderId="0" xfId="0" applyNumberFormat="1" applyAlignment="1">
      <alignment horizontal="center" vertical="center"/>
    </xf>
    <xf numFmtId="2" fontId="42" fillId="0" borderId="0" xfId="0" applyNumberFormat="1" applyFont="1" applyFill="1" applyBorder="1" applyAlignment="1">
      <alignment horizontal="center" vertical="center"/>
    </xf>
    <xf numFmtId="2" fontId="14" fillId="0" borderId="0" xfId="0" applyNumberFormat="1" applyFont="1" applyAlignment="1">
      <alignment horizontal="center" vertical="center"/>
    </xf>
    <xf numFmtId="2" fontId="63" fillId="0" borderId="0" xfId="4" applyNumberFormat="1" applyFont="1" applyFill="1" applyBorder="1"/>
    <xf numFmtId="0" fontId="9" fillId="2" borderId="85" xfId="0" applyFont="1" applyFill="1" applyBorder="1" applyAlignment="1" applyProtection="1">
      <alignment horizontal="center" vertical="center"/>
      <protection locked="0"/>
    </xf>
    <xf numFmtId="0" fontId="12" fillId="2" borderId="4" xfId="0" applyFont="1" applyFill="1" applyBorder="1"/>
    <xf numFmtId="0" fontId="9" fillId="2" borderId="4" xfId="0" applyFont="1" applyFill="1" applyBorder="1"/>
    <xf numFmtId="0" fontId="75" fillId="0" borderId="0" xfId="0" applyFont="1"/>
    <xf numFmtId="0" fontId="85" fillId="0" borderId="0" xfId="0" applyFont="1"/>
    <xf numFmtId="14" fontId="0" fillId="0" borderId="0" xfId="0" applyNumberFormat="1" applyAlignment="1">
      <alignment horizontal="left"/>
    </xf>
    <xf numFmtId="0" fontId="0" fillId="0" borderId="4" xfId="0" applyBorder="1"/>
    <xf numFmtId="0" fontId="0" fillId="0" borderId="4" xfId="0" applyBorder="1" applyAlignment="1">
      <alignment horizontal="center"/>
    </xf>
    <xf numFmtId="0" fontId="0" fillId="0" borderId="4" xfId="0" applyFill="1" applyBorder="1"/>
    <xf numFmtId="0" fontId="0" fillId="0" borderId="15" xfId="0" applyBorder="1"/>
    <xf numFmtId="0" fontId="0" fillId="0" borderId="0" xfId="0" applyBorder="1" applyAlignment="1">
      <alignment horizontal="right"/>
    </xf>
    <xf numFmtId="0" fontId="0" fillId="4" borderId="0" xfId="0" applyFill="1" applyBorder="1"/>
    <xf numFmtId="0" fontId="0" fillId="0" borderId="19" xfId="0" applyBorder="1"/>
    <xf numFmtId="0" fontId="1" fillId="4" borderId="0" xfId="0" applyFont="1" applyFill="1" applyBorder="1" applyAlignment="1">
      <alignment horizontal="center"/>
    </xf>
    <xf numFmtId="0" fontId="0" fillId="0" borderId="0" xfId="0" applyFill="1" applyBorder="1"/>
    <xf numFmtId="0" fontId="88" fillId="0" borderId="0" xfId="0" applyFont="1" applyFill="1" applyBorder="1"/>
    <xf numFmtId="173" fontId="0" fillId="0" borderId="0" xfId="0" applyNumberFormat="1" applyBorder="1"/>
    <xf numFmtId="0" fontId="75" fillId="8" borderId="0" xfId="0" applyFont="1" applyFill="1" applyBorder="1" applyAlignment="1">
      <alignment horizontal="right"/>
    </xf>
    <xf numFmtId="0" fontId="75" fillId="8" borderId="0" xfId="0" applyFont="1" applyFill="1" applyBorder="1"/>
    <xf numFmtId="0" fontId="0" fillId="8" borderId="0" xfId="0" applyFill="1" applyBorder="1"/>
    <xf numFmtId="0" fontId="0" fillId="0" borderId="11" xfId="0" applyBorder="1"/>
    <xf numFmtId="0" fontId="75" fillId="9" borderId="12" xfId="0" applyFont="1" applyFill="1" applyBorder="1" applyAlignment="1">
      <alignment horizontal="right"/>
    </xf>
    <xf numFmtId="0" fontId="75" fillId="9" borderId="12" xfId="0" applyFont="1" applyFill="1" applyBorder="1"/>
    <xf numFmtId="0" fontId="0" fillId="9" borderId="12" xfId="0" applyFill="1" applyBorder="1"/>
    <xf numFmtId="0" fontId="0" fillId="0" borderId="12" xfId="0" applyBorder="1"/>
    <xf numFmtId="0" fontId="0" fillId="0" borderId="13" xfId="0" applyBorder="1"/>
    <xf numFmtId="1" fontId="9" fillId="0" borderId="4" xfId="0" applyNumberFormat="1" applyFont="1" applyFill="1" applyBorder="1" applyAlignment="1">
      <alignment horizontal="left" vertical="center"/>
    </xf>
    <xf numFmtId="0" fontId="12" fillId="0" borderId="0" xfId="0" applyFont="1" applyFill="1" applyAlignment="1" applyProtection="1">
      <alignment horizontal="left" vertical="center" wrapText="1"/>
    </xf>
    <xf numFmtId="0" fontId="0" fillId="0" borderId="0" xfId="0" applyFont="1" applyFill="1" applyBorder="1" applyAlignment="1">
      <alignment horizontal="left" vertical="center" wrapText="1"/>
    </xf>
    <xf numFmtId="0" fontId="13" fillId="0" borderId="0" xfId="0" applyFont="1" applyFill="1" applyAlignment="1" applyProtection="1">
      <alignment horizontal="left" vertical="center" wrapText="1"/>
    </xf>
    <xf numFmtId="0" fontId="11" fillId="0" borderId="0" xfId="0" applyFont="1" applyFill="1" applyAlignment="1">
      <alignment horizontal="left" vertical="center" wrapText="1"/>
    </xf>
    <xf numFmtId="0" fontId="0" fillId="0" borderId="0" xfId="0" applyFont="1" applyFill="1"/>
    <xf numFmtId="0" fontId="11" fillId="0" borderId="0" xfId="0" applyFont="1" applyFill="1"/>
    <xf numFmtId="0" fontId="0" fillId="0" borderId="0" xfId="0" applyFill="1" applyAlignment="1">
      <alignment wrapText="1"/>
    </xf>
    <xf numFmtId="0" fontId="0" fillId="0" borderId="0" xfId="0" applyFont="1" applyFill="1" applyAlignment="1">
      <alignment wrapText="1"/>
    </xf>
    <xf numFmtId="0" fontId="0" fillId="0" borderId="8"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0" fillId="0" borderId="11" xfId="0" applyFill="1" applyBorder="1"/>
    <xf numFmtId="0" fontId="0" fillId="0" borderId="11" xfId="0" applyFill="1" applyBorder="1" applyAlignment="1">
      <alignment wrapText="1"/>
    </xf>
    <xf numFmtId="0" fontId="0" fillId="0" borderId="36" xfId="0" applyFill="1" applyBorder="1"/>
    <xf numFmtId="0" fontId="0" fillId="0" borderId="32" xfId="0" applyFill="1" applyBorder="1"/>
    <xf numFmtId="0" fontId="0" fillId="0" borderId="1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12" fillId="0" borderId="0" xfId="0" applyFont="1" applyFill="1" applyAlignment="1">
      <alignment horizontal="left" vertical="center" wrapText="1"/>
    </xf>
    <xf numFmtId="0" fontId="11" fillId="0" borderId="0" xfId="0" applyFont="1" applyFill="1" applyBorder="1" applyAlignment="1">
      <alignment horizontal="left" vertical="center" wrapText="1"/>
    </xf>
    <xf numFmtId="0" fontId="0" fillId="0" borderId="0" xfId="0" quotePrefix="1" applyFont="1" applyFill="1" applyBorder="1" applyAlignment="1">
      <alignment horizontal="left" vertical="center" wrapText="1"/>
    </xf>
    <xf numFmtId="0" fontId="11" fillId="0" borderId="0" xfId="0" quotePrefix="1" applyFont="1" applyFill="1" applyBorder="1" applyAlignment="1">
      <alignment horizontal="left" vertical="center" wrapText="1"/>
    </xf>
    <xf numFmtId="0" fontId="0" fillId="0" borderId="0" xfId="0" applyFill="1" applyAlignment="1">
      <alignment horizontal="left" vertical="center" wrapText="1"/>
    </xf>
    <xf numFmtId="0" fontId="12" fillId="0" borderId="0" xfId="0" applyFont="1" applyFill="1" applyBorder="1" applyAlignment="1" applyProtection="1"/>
    <xf numFmtId="0" fontId="13" fillId="0" borderId="0" xfId="0" applyFont="1" applyFill="1" applyBorder="1" applyAlignment="1" applyProtection="1"/>
    <xf numFmtId="0" fontId="0" fillId="0" borderId="0" xfId="0" applyFont="1" applyFill="1" applyBorder="1"/>
    <xf numFmtId="0" fontId="11" fillId="0" borderId="0" xfId="0" applyFont="1" applyFill="1" applyBorder="1"/>
    <xf numFmtId="0" fontId="12"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2" fillId="0" borderId="0" xfId="0" applyFont="1" applyFill="1" applyBorder="1" applyAlignment="1" applyProtection="1">
      <alignment horizontal="left"/>
    </xf>
    <xf numFmtId="0" fontId="13" fillId="0" borderId="0" xfId="0" applyFont="1" applyFill="1" applyBorder="1" applyAlignment="1" applyProtection="1">
      <alignment horizontal="left"/>
    </xf>
    <xf numFmtId="0" fontId="76" fillId="0" borderId="0" xfId="0" applyFont="1" applyFill="1" applyAlignment="1">
      <alignment vertical="center"/>
    </xf>
    <xf numFmtId="0" fontId="79" fillId="0" borderId="0" xfId="0" applyFont="1" applyFill="1" applyAlignment="1">
      <alignment horizontal="left" vertical="center" wrapText="1"/>
    </xf>
    <xf numFmtId="0" fontId="37" fillId="0" borderId="0" xfId="0" applyFont="1" applyFill="1" applyBorder="1" applyAlignment="1">
      <alignment horizontal="left" vertical="center"/>
    </xf>
    <xf numFmtId="0" fontId="0" fillId="5" borderId="8" xfId="0" applyFont="1" applyFill="1" applyBorder="1" applyAlignment="1">
      <alignment horizontal="left" vertical="center" wrapText="1"/>
    </xf>
    <xf numFmtId="0" fontId="12" fillId="0" borderId="11" xfId="0" applyFont="1" applyFill="1" applyBorder="1" applyAlignment="1" applyProtection="1">
      <alignment horizontal="left" vertical="center" wrapText="1"/>
    </xf>
    <xf numFmtId="0" fontId="0" fillId="0" borderId="15" xfId="0" applyFill="1" applyBorder="1"/>
    <xf numFmtId="0" fontId="0" fillId="0" borderId="0" xfId="0" applyFill="1" applyBorder="1" applyAlignment="1">
      <alignment wrapText="1"/>
    </xf>
    <xf numFmtId="0" fontId="0" fillId="0" borderId="8" xfId="0" applyFill="1" applyBorder="1" applyAlignment="1">
      <alignment horizontal="left" vertical="center" wrapText="1"/>
    </xf>
    <xf numFmtId="0" fontId="0" fillId="0" borderId="15" xfId="0" applyFill="1" applyBorder="1" applyAlignment="1">
      <alignment wrapText="1"/>
    </xf>
    <xf numFmtId="0" fontId="0" fillId="5" borderId="29" xfId="0" applyFont="1" applyFill="1" applyBorder="1" applyAlignment="1">
      <alignment horizontal="left" vertical="center" wrapText="1"/>
    </xf>
    <xf numFmtId="0" fontId="80" fillId="0" borderId="0" xfId="0" applyFont="1" applyFill="1" applyBorder="1" applyAlignment="1">
      <alignment vertical="center"/>
    </xf>
    <xf numFmtId="0" fontId="12" fillId="0" borderId="0" xfId="0" applyFont="1" applyFill="1" applyBorder="1" applyAlignment="1">
      <alignment horizontal="left" vertical="center" wrapText="1"/>
    </xf>
    <xf numFmtId="0" fontId="13" fillId="0" borderId="11" xfId="0" applyFont="1" applyFill="1" applyBorder="1" applyAlignment="1" applyProtection="1">
      <alignment horizontal="left" vertical="center" wrapText="1"/>
    </xf>
    <xf numFmtId="2" fontId="0" fillId="4" borderId="0" xfId="0" applyNumberFormat="1" applyFill="1"/>
    <xf numFmtId="0" fontId="65" fillId="0" borderId="0" xfId="4" applyFont="1" applyFill="1" applyAlignment="1"/>
    <xf numFmtId="1" fontId="62" fillId="0" borderId="0" xfId="0" applyNumberFormat="1" applyFont="1" applyAlignment="1"/>
    <xf numFmtId="0" fontId="53" fillId="0" borderId="0" xfId="6" applyFont="1" applyAlignment="1"/>
    <xf numFmtId="0" fontId="1" fillId="0" borderId="0" xfId="0" applyFont="1" applyAlignment="1" applyProtection="1"/>
    <xf numFmtId="0" fontId="1" fillId="0" borderId="0" xfId="0" applyFont="1" applyAlignment="1" applyProtection="1">
      <alignment vertical="center"/>
    </xf>
    <xf numFmtId="0" fontId="11" fillId="5" borderId="0" xfId="0" applyFont="1" applyFill="1" applyAlignment="1">
      <alignment horizontal="left" vertical="center" wrapText="1"/>
    </xf>
    <xf numFmtId="0" fontId="0" fillId="9" borderId="0" xfId="0" applyFill="1"/>
    <xf numFmtId="2" fontId="0" fillId="9" borderId="0" xfId="0" applyNumberFormat="1" applyFill="1"/>
    <xf numFmtId="0" fontId="10" fillId="0" borderId="0" xfId="1" applyAlignment="1" applyProtection="1">
      <alignment horizontal="right"/>
    </xf>
    <xf numFmtId="0" fontId="3" fillId="0" borderId="0" xfId="0" applyFont="1" applyAlignment="1" applyProtection="1">
      <alignment horizontal="center"/>
    </xf>
    <xf numFmtId="0" fontId="0" fillId="0" borderId="0" xfId="0" applyAlignment="1" applyProtection="1">
      <alignment horizontal="left" indent="8"/>
    </xf>
    <xf numFmtId="0" fontId="0" fillId="2" borderId="74" xfId="0" applyFill="1" applyBorder="1" applyAlignment="1" applyProtection="1">
      <alignment horizontal="left"/>
      <protection locked="0"/>
    </xf>
    <xf numFmtId="0" fontId="1" fillId="0" borderId="0" xfId="0" applyFont="1" applyAlignment="1" applyProtection="1">
      <alignment horizontal="center" vertical="center"/>
    </xf>
    <xf numFmtId="49" fontId="0" fillId="2" borderId="74" xfId="0" applyNumberFormat="1" applyFill="1" applyBorder="1" applyAlignment="1" applyProtection="1">
      <alignment horizontal="left"/>
      <protection locked="0"/>
    </xf>
    <xf numFmtId="14" fontId="8" fillId="0" borderId="2" xfId="0" applyNumberFormat="1" applyFont="1" applyBorder="1" applyAlignment="1" applyProtection="1">
      <alignment horizontal="left"/>
    </xf>
    <xf numFmtId="49" fontId="8" fillId="0" borderId="2" xfId="0" applyNumberFormat="1" applyFont="1" applyBorder="1" applyAlignment="1" applyProtection="1">
      <alignment horizontal="left"/>
    </xf>
    <xf numFmtId="0" fontId="0" fillId="2" borderId="75" xfId="0" applyFill="1" applyBorder="1" applyAlignment="1" applyProtection="1">
      <alignment horizontal="left"/>
      <protection locked="0"/>
    </xf>
    <xf numFmtId="0" fontId="77" fillId="0" borderId="0" xfId="0" applyFont="1" applyAlignment="1" applyProtection="1">
      <alignment horizontal="left" vertical="top" wrapText="1"/>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2" fillId="2" borderId="1" xfId="0"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0" fontId="3" fillId="0" borderId="0" xfId="0" applyFont="1" applyAlignment="1">
      <alignment horizontal="left" vertical="top" wrapText="1"/>
    </xf>
    <xf numFmtId="0" fontId="3" fillId="0" borderId="0" xfId="0" applyFont="1" applyAlignment="1">
      <alignment horizontal="left"/>
    </xf>
    <xf numFmtId="0" fontId="2" fillId="0" borderId="0" xfId="0" applyFont="1" applyAlignment="1">
      <alignment horizontal="left" vertical="top" wrapText="1"/>
    </xf>
    <xf numFmtId="49" fontId="8" fillId="0" borderId="2" xfId="0" applyNumberFormat="1" applyFont="1" applyBorder="1" applyAlignment="1">
      <alignment horizontal="left"/>
    </xf>
    <xf numFmtId="0" fontId="8" fillId="0" borderId="2" xfId="0" applyNumberFormat="1" applyFont="1" applyBorder="1" applyAlignment="1">
      <alignment horizontal="left"/>
    </xf>
    <xf numFmtId="0" fontId="8" fillId="0" borderId="3" xfId="0" applyNumberFormat="1" applyFont="1" applyBorder="1" applyAlignment="1">
      <alignment horizontal="left"/>
    </xf>
    <xf numFmtId="0" fontId="2" fillId="0" borderId="0" xfId="0" applyFont="1" applyAlignment="1">
      <alignment horizontal="center"/>
    </xf>
    <xf numFmtId="0" fontId="7" fillId="0" borderId="1" xfId="0" applyFont="1" applyBorder="1" applyAlignment="1" applyProtection="1">
      <alignment horizontal="left"/>
    </xf>
    <xf numFmtId="0" fontId="7" fillId="0" borderId="2" xfId="0" applyFont="1" applyBorder="1" applyAlignment="1" applyProtection="1">
      <alignment horizontal="left"/>
    </xf>
    <xf numFmtId="0" fontId="7" fillId="0" borderId="3" xfId="0" applyFont="1" applyBorder="1" applyAlignment="1" applyProtection="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14" fontId="8" fillId="0" borderId="2" xfId="0" applyNumberFormat="1" applyFont="1" applyBorder="1" applyAlignment="1">
      <alignment horizontal="left"/>
    </xf>
    <xf numFmtId="0" fontId="2" fillId="0" borderId="0" xfId="0" applyFont="1" applyAlignment="1">
      <alignment horizontal="center" vertical="top" wrapText="1"/>
    </xf>
    <xf numFmtId="0" fontId="2" fillId="0" borderId="0" xfId="0" applyFont="1" applyAlignment="1">
      <alignment horizontal="left"/>
    </xf>
    <xf numFmtId="0" fontId="73" fillId="0" borderId="0" xfId="6" applyFont="1" applyAlignment="1" applyProtection="1">
      <alignment horizontal="center" vertical="center" wrapText="1"/>
    </xf>
    <xf numFmtId="0" fontId="1" fillId="11" borderId="69" xfId="6" applyFont="1" applyFill="1" applyBorder="1" applyAlignment="1" applyProtection="1">
      <alignment horizontal="center"/>
    </xf>
    <xf numFmtId="0" fontId="1" fillId="11" borderId="63" xfId="6" applyFont="1" applyFill="1" applyBorder="1" applyAlignment="1" applyProtection="1">
      <alignment horizontal="center"/>
    </xf>
    <xf numFmtId="0" fontId="1" fillId="11" borderId="70" xfId="6" applyFont="1" applyFill="1" applyBorder="1" applyAlignment="1" applyProtection="1">
      <alignment horizontal="center"/>
    </xf>
    <xf numFmtId="0" fontId="75" fillId="2" borderId="66" xfId="6" applyFont="1" applyFill="1" applyBorder="1" applyAlignment="1" applyProtection="1">
      <alignment horizontal="center"/>
      <protection locked="0"/>
    </xf>
    <xf numFmtId="0" fontId="75" fillId="2" borderId="51" xfId="6" applyFont="1" applyFill="1" applyBorder="1" applyAlignment="1" applyProtection="1">
      <alignment horizontal="center"/>
      <protection locked="0"/>
    </xf>
    <xf numFmtId="0" fontId="75" fillId="2" borderId="67" xfId="6" applyFont="1" applyFill="1" applyBorder="1" applyAlignment="1" applyProtection="1">
      <alignment horizontal="center"/>
      <protection locked="0"/>
    </xf>
    <xf numFmtId="0" fontId="0" fillId="0" borderId="29" xfId="0" applyBorder="1" applyAlignment="1">
      <alignment horizont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9" fillId="0" borderId="30" xfId="0" applyFont="1" applyBorder="1" applyAlignment="1">
      <alignment horizontal="left" vertical="center"/>
    </xf>
    <xf numFmtId="0" fontId="9" fillId="0" borderId="6" xfId="0" applyFont="1" applyBorder="1" applyAlignment="1">
      <alignment horizontal="left" vertical="center"/>
    </xf>
    <xf numFmtId="0" fontId="9" fillId="0" borderId="20" xfId="0" applyFont="1" applyBorder="1" applyAlignment="1">
      <alignment horizontal="left"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77" xfId="0" applyFont="1" applyBorder="1" applyAlignment="1">
      <alignment horizontal="left" vertical="center"/>
    </xf>
    <xf numFmtId="0" fontId="9" fillId="2" borderId="78" xfId="0" applyFont="1" applyFill="1" applyBorder="1" applyAlignment="1" applyProtection="1">
      <alignment horizontal="center" vertical="center"/>
      <protection locked="0"/>
    </xf>
    <xf numFmtId="0" fontId="9" fillId="2" borderId="79" xfId="0" applyFont="1" applyFill="1" applyBorder="1" applyAlignment="1" applyProtection="1">
      <alignment horizontal="center" vertical="center"/>
      <protection locked="0"/>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2" borderId="35" xfId="0" applyFont="1" applyFill="1" applyBorder="1" applyAlignment="1" applyProtection="1">
      <alignment horizontal="center" vertical="center"/>
      <protection locked="0"/>
    </xf>
    <xf numFmtId="0" fontId="9" fillId="2" borderId="25" xfId="0" applyFont="1" applyFill="1" applyBorder="1" applyAlignment="1" applyProtection="1">
      <alignment horizontal="center" vertical="center"/>
      <protection locked="0"/>
    </xf>
    <xf numFmtId="0" fontId="9" fillId="0" borderId="34" xfId="0" applyFont="1" applyBorder="1" applyAlignment="1">
      <alignment horizontal="left" vertical="center"/>
    </xf>
    <xf numFmtId="0" fontId="9" fillId="0" borderId="21" xfId="0" applyFont="1" applyBorder="1" applyAlignment="1">
      <alignment horizontal="left" vertical="center"/>
    </xf>
    <xf numFmtId="0" fontId="9" fillId="0" borderId="37" xfId="0" applyFont="1" applyBorder="1" applyAlignment="1">
      <alignment horizontal="left" vertical="center"/>
    </xf>
    <xf numFmtId="0" fontId="9" fillId="2" borderId="38" xfId="0" applyFont="1" applyFill="1" applyBorder="1" applyAlignment="1" applyProtection="1">
      <alignment horizontal="center" vertical="center"/>
      <protection locked="0"/>
    </xf>
    <xf numFmtId="0" fontId="9" fillId="2" borderId="39" xfId="0" applyFont="1" applyFill="1" applyBorder="1" applyAlignment="1" applyProtection="1">
      <alignment horizontal="center" vertical="center"/>
      <protection locked="0"/>
    </xf>
    <xf numFmtId="0" fontId="9" fillId="0" borderId="9" xfId="0" applyFont="1" applyBorder="1" applyAlignment="1">
      <alignment horizontal="center"/>
    </xf>
    <xf numFmtId="0" fontId="9" fillId="0" borderId="30" xfId="0" applyFont="1" applyBorder="1" applyAlignment="1">
      <alignment horizontal="right" vertical="center"/>
    </xf>
    <xf numFmtId="0" fontId="9" fillId="0" borderId="6" xfId="0" applyFont="1" applyBorder="1" applyAlignment="1">
      <alignment horizontal="right" vertical="center"/>
    </xf>
    <xf numFmtId="0" fontId="9" fillId="0" borderId="7" xfId="0" applyFont="1" applyBorder="1" applyAlignment="1">
      <alignment horizontal="right" vertical="center"/>
    </xf>
    <xf numFmtId="0" fontId="9" fillId="0" borderId="5" xfId="0" applyFont="1" applyFill="1" applyBorder="1" applyAlignment="1">
      <alignment horizontal="center" vertical="center"/>
    </xf>
    <xf numFmtId="0" fontId="9" fillId="0" borderId="20" xfId="0" applyFont="1" applyFill="1" applyBorder="1" applyAlignment="1">
      <alignment horizontal="center" vertical="center"/>
    </xf>
    <xf numFmtId="0" fontId="9" fillId="0" borderId="30" xfId="0" applyFont="1" applyFill="1" applyBorder="1" applyAlignment="1">
      <alignment horizontal="left" vertical="center"/>
    </xf>
    <xf numFmtId="0" fontId="9" fillId="0" borderId="6" xfId="0" applyFont="1" applyFill="1" applyBorder="1" applyAlignment="1">
      <alignment horizontal="left" vertical="center"/>
    </xf>
    <xf numFmtId="0" fontId="9" fillId="2" borderId="5" xfId="0" applyFont="1" applyFill="1" applyBorder="1" applyAlignment="1" applyProtection="1">
      <alignment horizontal="center" vertical="center"/>
      <protection locked="0"/>
    </xf>
    <xf numFmtId="0" fontId="9" fillId="2" borderId="20" xfId="0" applyFont="1" applyFill="1" applyBorder="1" applyAlignment="1" applyProtection="1">
      <alignment horizontal="center" vertical="center"/>
      <protection locked="0"/>
    </xf>
    <xf numFmtId="0" fontId="9" fillId="0" borderId="7" xfId="0" applyFont="1" applyBorder="1" applyAlignment="1">
      <alignment horizontal="left" vertical="center"/>
    </xf>
    <xf numFmtId="0" fontId="9" fillId="2" borderId="80" xfId="0" applyFont="1" applyFill="1" applyBorder="1" applyAlignment="1" applyProtection="1">
      <alignment horizontal="center" vertical="center"/>
      <protection locked="0"/>
    </xf>
    <xf numFmtId="0" fontId="9" fillId="2" borderId="81" xfId="0" applyFont="1" applyFill="1" applyBorder="1" applyAlignment="1" applyProtection="1">
      <alignment horizontal="center" vertical="center"/>
      <protection locked="0"/>
    </xf>
    <xf numFmtId="0" fontId="9" fillId="0" borderId="30" xfId="0" applyFont="1" applyBorder="1" applyAlignment="1">
      <alignment horizontal="center" vertical="center"/>
    </xf>
    <xf numFmtId="0" fontId="9" fillId="0" borderId="6" xfId="0" applyFont="1" applyBorder="1" applyAlignment="1">
      <alignment horizontal="center" vertical="center"/>
    </xf>
    <xf numFmtId="0" fontId="9" fillId="0" borderId="20" xfId="0" applyFont="1" applyBorder="1" applyAlignment="1">
      <alignment horizontal="center" vertical="center"/>
    </xf>
    <xf numFmtId="0" fontId="9" fillId="0" borderId="32" xfId="0" applyFont="1" applyBorder="1" applyAlignment="1">
      <alignment horizontal="left" vertical="center"/>
    </xf>
    <xf numFmtId="0" fontId="10" fillId="2" borderId="5" xfId="1" applyNumberFormat="1" applyFill="1" applyBorder="1" applyAlignment="1" applyProtection="1">
      <alignment horizontal="left" vertical="center"/>
      <protection locked="0"/>
    </xf>
    <xf numFmtId="0" fontId="23" fillId="2" borderId="6" xfId="1" applyNumberFormat="1" applyFont="1" applyFill="1" applyBorder="1" applyAlignment="1" applyProtection="1">
      <alignment horizontal="left" vertical="center"/>
      <protection locked="0"/>
    </xf>
    <xf numFmtId="0" fontId="23" fillId="2" borderId="7" xfId="1" applyNumberFormat="1" applyFont="1" applyFill="1" applyBorder="1" applyAlignment="1" applyProtection="1">
      <alignment horizontal="left" vertical="center"/>
      <protection locked="0"/>
    </xf>
    <xf numFmtId="0" fontId="70" fillId="0" borderId="12" xfId="0" applyFont="1" applyBorder="1" applyAlignment="1" applyProtection="1">
      <alignment horizontal="center"/>
      <protection locked="0"/>
    </xf>
    <xf numFmtId="0" fontId="70" fillId="0" borderId="13" xfId="0" applyFont="1" applyBorder="1" applyAlignment="1" applyProtection="1">
      <alignment horizontal="center"/>
      <protection locked="0"/>
    </xf>
    <xf numFmtId="0" fontId="12" fillId="0" borderId="11" xfId="0" applyFont="1" applyBorder="1" applyAlignment="1">
      <alignment horizontal="left" vertical="center"/>
    </xf>
    <xf numFmtId="0" fontId="12" fillId="0" borderId="12" xfId="0" applyFont="1" applyBorder="1" applyAlignment="1">
      <alignment horizontal="left" vertical="center"/>
    </xf>
    <xf numFmtId="0" fontId="20" fillId="2" borderId="5" xfId="0" applyNumberFormat="1" applyFont="1" applyFill="1" applyBorder="1" applyAlignment="1" applyProtection="1">
      <alignment horizontal="left" vertical="center"/>
      <protection locked="0"/>
    </xf>
    <xf numFmtId="0" fontId="20" fillId="2" borderId="6"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left" vertical="center"/>
      <protection locked="0"/>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0" borderId="0" xfId="0" applyFont="1" applyBorder="1" applyAlignment="1">
      <alignment horizontal="center" vertical="center"/>
    </xf>
    <xf numFmtId="0" fontId="20" fillId="0" borderId="19"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9" fillId="0" borderId="33"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20" fillId="0" borderId="4" xfId="0" applyFont="1" applyBorder="1" applyAlignment="1">
      <alignment horizontal="center" vertical="center"/>
    </xf>
    <xf numFmtId="0" fontId="9" fillId="0" borderId="22" xfId="0" applyFont="1" applyBorder="1" applyAlignment="1">
      <alignment horizontal="left" vertical="center"/>
    </xf>
    <xf numFmtId="0" fontId="9" fillId="0" borderId="4" xfId="0" applyFont="1" applyFill="1" applyBorder="1" applyAlignment="1">
      <alignment horizontal="center" vertical="center"/>
    </xf>
    <xf numFmtId="0" fontId="9" fillId="0" borderId="25" xfId="0" applyFont="1" applyBorder="1" applyAlignment="1">
      <alignment horizontal="left" vertical="center"/>
    </xf>
    <xf numFmtId="0" fontId="9" fillId="0" borderId="1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 xfId="0" applyFont="1" applyBorder="1" applyAlignment="1">
      <alignment horizontal="center"/>
    </xf>
    <xf numFmtId="0" fontId="9" fillId="0" borderId="29" xfId="0" applyFont="1" applyBorder="1" applyAlignment="1">
      <alignment horizontal="center"/>
    </xf>
    <xf numFmtId="0" fontId="24" fillId="0" borderId="14" xfId="0" applyFont="1" applyBorder="1" applyAlignment="1">
      <alignment horizont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9" fillId="0" borderId="0" xfId="0" applyFont="1" applyBorder="1" applyAlignment="1">
      <alignment horizontal="center" vertical="center"/>
    </xf>
    <xf numFmtId="0" fontId="9" fillId="0" borderId="19"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left" vertical="center"/>
    </xf>
    <xf numFmtId="0" fontId="9" fillId="0" borderId="31" xfId="0" applyFont="1" applyBorder="1" applyAlignment="1">
      <alignment horizontal="left" vertical="center"/>
    </xf>
    <xf numFmtId="0" fontId="9" fillId="0" borderId="4" xfId="0" applyFont="1" applyFill="1" applyBorder="1" applyAlignment="1">
      <alignment horizontal="center"/>
    </xf>
    <xf numFmtId="166" fontId="9" fillId="0" borderId="4" xfId="0" applyNumberFormat="1" applyFont="1" applyFill="1" applyBorder="1" applyAlignment="1">
      <alignment horizontal="center"/>
    </xf>
    <xf numFmtId="166" fontId="9" fillId="0" borderId="4" xfId="0" applyNumberFormat="1" applyFont="1" applyFill="1" applyBorder="1" applyAlignment="1" applyProtection="1">
      <alignment horizontal="center"/>
      <protection locked="0"/>
    </xf>
    <xf numFmtId="0" fontId="9" fillId="0" borderId="4" xfId="0" applyNumberFormat="1" applyFont="1" applyFill="1" applyBorder="1" applyAlignment="1">
      <alignment horizontal="center"/>
    </xf>
    <xf numFmtId="9" fontId="9" fillId="0" borderId="4" xfId="0" applyNumberFormat="1" applyFont="1" applyFill="1" applyBorder="1" applyAlignment="1">
      <alignment horizontal="center"/>
    </xf>
    <xf numFmtId="9" fontId="9" fillId="0" borderId="0" xfId="0" applyNumberFormat="1" applyFont="1" applyFill="1" applyBorder="1" applyAlignment="1">
      <alignment horizontal="center"/>
    </xf>
    <xf numFmtId="0" fontId="9" fillId="0" borderId="0"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8" xfId="0" applyFont="1" applyBorder="1" applyAlignment="1">
      <alignment horizontal="center" wrapText="1"/>
    </xf>
    <xf numFmtId="0" fontId="25" fillId="0" borderId="10" xfId="0" applyFont="1" applyBorder="1" applyAlignment="1">
      <alignment horizont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2" xfId="0" applyFont="1" applyBorder="1" applyAlignment="1">
      <alignment horizontal="center" vertical="center" wrapText="1"/>
    </xf>
    <xf numFmtId="166" fontId="9" fillId="0" borderId="0" xfId="0" applyNumberFormat="1" applyFont="1" applyFill="1" applyBorder="1" applyAlignment="1">
      <alignment horizontal="center"/>
    </xf>
    <xf numFmtId="166" fontId="9" fillId="0" borderId="0" xfId="0" applyNumberFormat="1" applyFont="1" applyFill="1" applyBorder="1" applyAlignment="1" applyProtection="1">
      <alignment horizontal="center"/>
      <protection locked="0"/>
    </xf>
    <xf numFmtId="0" fontId="9" fillId="0" borderId="0" xfId="0" applyNumberFormat="1" applyFont="1" applyFill="1" applyBorder="1" applyAlignment="1">
      <alignment horizontal="center"/>
    </xf>
    <xf numFmtId="0" fontId="12" fillId="2" borderId="12" xfId="0" applyFont="1" applyFill="1" applyBorder="1" applyAlignment="1" applyProtection="1">
      <alignment horizontal="center"/>
      <protection locked="0"/>
    </xf>
    <xf numFmtId="0" fontId="12" fillId="2" borderId="0" xfId="0" applyFont="1" applyFill="1" applyBorder="1" applyAlignment="1" applyProtection="1">
      <alignment horizontal="center"/>
      <protection locked="0"/>
    </xf>
    <xf numFmtId="0" fontId="8" fillId="15" borderId="4" xfId="0" applyFont="1" applyFill="1" applyBorder="1" applyAlignment="1" applyProtection="1">
      <alignment horizontal="left" vertical="center" wrapText="1"/>
    </xf>
    <xf numFmtId="0" fontId="8" fillId="0" borderId="27" xfId="0" applyFont="1" applyBorder="1" applyAlignment="1" applyProtection="1">
      <alignment horizontal="left" vertical="center"/>
      <protection locked="0"/>
    </xf>
    <xf numFmtId="0" fontId="20" fillId="0" borderId="0" xfId="0" applyFont="1" applyFill="1" applyBorder="1" applyAlignment="1" applyProtection="1">
      <alignment horizontal="center" vertical="center"/>
      <protection locked="0"/>
    </xf>
    <xf numFmtId="14" fontId="8" fillId="0" borderId="5" xfId="0" applyNumberFormat="1" applyFont="1" applyFill="1" applyBorder="1" applyAlignment="1" applyProtection="1">
      <alignment horizontal="left" vertical="center"/>
      <protection locked="0"/>
    </xf>
    <xf numFmtId="14" fontId="8" fillId="0" borderId="6" xfId="0" applyNumberFormat="1" applyFont="1" applyFill="1" applyBorder="1" applyAlignment="1" applyProtection="1">
      <alignment horizontal="left" vertical="center"/>
      <protection locked="0"/>
    </xf>
    <xf numFmtId="49" fontId="8" fillId="0" borderId="5" xfId="0" applyNumberFormat="1" applyFont="1" applyFill="1" applyBorder="1" applyAlignment="1" applyProtection="1">
      <alignment horizontal="left" vertical="center"/>
      <protection locked="0"/>
    </xf>
    <xf numFmtId="0" fontId="8" fillId="0" borderId="6" xfId="0" applyNumberFormat="1" applyFont="1" applyFill="1" applyBorder="1" applyAlignment="1" applyProtection="1">
      <alignment horizontal="left" vertical="center"/>
      <protection locked="0"/>
    </xf>
    <xf numFmtId="0" fontId="8" fillId="0" borderId="7" xfId="0" applyNumberFormat="1" applyFont="1" applyFill="1" applyBorder="1" applyAlignment="1" applyProtection="1">
      <alignment horizontal="left" vertical="center"/>
      <protection locked="0"/>
    </xf>
    <xf numFmtId="0" fontId="45" fillId="0" borderId="0" xfId="0" applyFont="1" applyAlignment="1">
      <alignment horizontal="left" vertical="top" wrapText="1"/>
    </xf>
    <xf numFmtId="0" fontId="8" fillId="0" borderId="5" xfId="0" applyNumberFormat="1" applyFont="1" applyFill="1" applyBorder="1" applyAlignment="1" applyProtection="1">
      <alignment horizontal="left" vertical="center"/>
      <protection locked="0"/>
    </xf>
    <xf numFmtId="0" fontId="8" fillId="0" borderId="50" xfId="0" applyFont="1" applyBorder="1" applyAlignment="1" applyProtection="1">
      <alignment horizontal="center" vertical="center" wrapText="1"/>
    </xf>
    <xf numFmtId="0" fontId="8" fillId="0" borderId="51" xfId="0" applyFont="1" applyBorder="1" applyAlignment="1" applyProtection="1">
      <alignment horizontal="center" vertical="center" wrapText="1"/>
    </xf>
    <xf numFmtId="0" fontId="8" fillId="0" borderId="52" xfId="0" applyFont="1" applyBorder="1" applyAlignment="1" applyProtection="1">
      <alignment horizontal="center" vertical="center" wrapText="1"/>
    </xf>
    <xf numFmtId="0" fontId="8" fillId="0" borderId="65" xfId="0" applyFont="1" applyFill="1" applyBorder="1" applyAlignment="1" applyProtection="1">
      <alignment horizontal="left" vertical="center" wrapText="1"/>
    </xf>
    <xf numFmtId="0" fontId="8" fillId="0" borderId="63" xfId="0" applyFont="1" applyFill="1" applyBorder="1" applyAlignment="1" applyProtection="1">
      <alignment horizontal="left" vertical="center" wrapText="1"/>
    </xf>
    <xf numFmtId="0" fontId="8" fillId="0" borderId="64"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47" fillId="0" borderId="47" xfId="0" applyFont="1" applyBorder="1" applyAlignment="1" applyProtection="1">
      <alignment horizontal="left" vertical="center"/>
      <protection hidden="1"/>
    </xf>
    <xf numFmtId="0" fontId="20" fillId="0" borderId="1" xfId="0"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8" fillId="0" borderId="4" xfId="0" applyFont="1" applyFill="1" applyBorder="1" applyAlignment="1" applyProtection="1">
      <alignment horizontal="left" vertical="center" wrapText="1"/>
    </xf>
    <xf numFmtId="0" fontId="8" fillId="0" borderId="29" xfId="0" applyFont="1" applyFill="1" applyBorder="1" applyAlignment="1" applyProtection="1">
      <alignment horizontal="left" vertical="center" wrapText="1"/>
    </xf>
    <xf numFmtId="0" fontId="8" fillId="15" borderId="36" xfId="0" applyFont="1" applyFill="1" applyBorder="1" applyAlignment="1" applyProtection="1">
      <alignment horizontal="left" vertical="center" wrapText="1"/>
    </xf>
    <xf numFmtId="0" fontId="37" fillId="0" borderId="4" xfId="0" applyFont="1" applyFill="1" applyBorder="1" applyAlignment="1" applyProtection="1">
      <alignment horizontal="center" vertical="center"/>
    </xf>
    <xf numFmtId="0" fontId="8" fillId="0" borderId="8" xfId="0"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xf>
    <xf numFmtId="0" fontId="8" fillId="15" borderId="1" xfId="0" applyFont="1" applyFill="1" applyBorder="1" applyAlignment="1" applyProtection="1">
      <alignment horizontal="left" vertical="center" wrapText="1"/>
    </xf>
    <xf numFmtId="0" fontId="8" fillId="15" borderId="2" xfId="0" applyFont="1" applyFill="1" applyBorder="1" applyAlignment="1" applyProtection="1">
      <alignment horizontal="left" vertical="center" wrapText="1"/>
    </xf>
    <xf numFmtId="0" fontId="8" fillId="15" borderId="3" xfId="0" applyFont="1" applyFill="1" applyBorder="1" applyAlignment="1" applyProtection="1">
      <alignment horizontal="left" vertical="center" wrapText="1"/>
    </xf>
    <xf numFmtId="0" fontId="8" fillId="0" borderId="0" xfId="0" applyNumberFormat="1" applyFont="1" applyFill="1" applyBorder="1" applyAlignment="1" applyProtection="1">
      <alignment horizontal="left" vertical="center"/>
      <protection locked="0"/>
    </xf>
    <xf numFmtId="0" fontId="47" fillId="0" borderId="0" xfId="0" applyFont="1" applyBorder="1" applyAlignment="1" applyProtection="1">
      <alignment horizontal="left" vertical="center"/>
      <protection hidden="1"/>
    </xf>
    <xf numFmtId="0" fontId="0" fillId="0" borderId="0" xfId="0" applyAlignment="1">
      <alignment horizontal="center"/>
    </xf>
    <xf numFmtId="1" fontId="0" fillId="0" borderId="9" xfId="0" applyNumberFormat="1" applyFill="1" applyBorder="1" applyAlignment="1">
      <alignment horizontal="center" vertical="center"/>
    </xf>
    <xf numFmtId="1" fontId="0" fillId="0" borderId="0" xfId="0" applyNumberFormat="1" applyFill="1" applyBorder="1" applyAlignment="1">
      <alignment horizontal="center" vertical="center"/>
    </xf>
    <xf numFmtId="2" fontId="0" fillId="0" borderId="9" xfId="0" applyNumberFormat="1" applyFill="1" applyBorder="1" applyAlignment="1">
      <alignment horizontal="center" vertical="center"/>
    </xf>
    <xf numFmtId="2" fontId="0" fillId="0" borderId="0" xfId="0" applyNumberFormat="1" applyFill="1" applyBorder="1" applyAlignment="1">
      <alignment horizontal="center" vertical="center"/>
    </xf>
    <xf numFmtId="0" fontId="0" fillId="8" borderId="0" xfId="0" applyFill="1" applyAlignment="1">
      <alignment horizontal="center"/>
    </xf>
    <xf numFmtId="0" fontId="0" fillId="9" borderId="0" xfId="0" applyFill="1" applyAlignment="1">
      <alignment horizontal="center"/>
    </xf>
    <xf numFmtId="0" fontId="0" fillId="10" borderId="0" xfId="0" applyFill="1" applyAlignment="1">
      <alignment horizontal="center"/>
    </xf>
    <xf numFmtId="0" fontId="37" fillId="0" borderId="1" xfId="0" applyFont="1" applyFill="1" applyBorder="1" applyAlignment="1" applyProtection="1">
      <alignment horizontal="left" vertical="center"/>
    </xf>
    <xf numFmtId="0" fontId="37" fillId="0" borderId="3" xfId="0" applyFont="1" applyFill="1" applyBorder="1" applyAlignment="1" applyProtection="1">
      <alignment horizontal="left" vertical="center"/>
    </xf>
    <xf numFmtId="0" fontId="37" fillId="0" borderId="8" xfId="0" applyFont="1" applyFill="1" applyBorder="1" applyAlignment="1" applyProtection="1">
      <alignment horizontal="left" vertical="center"/>
    </xf>
    <xf numFmtId="0" fontId="37" fillId="0" borderId="9" xfId="0" applyFont="1" applyFill="1" applyBorder="1" applyAlignment="1" applyProtection="1">
      <alignment horizontal="left" vertical="center"/>
    </xf>
    <xf numFmtId="0" fontId="37" fillId="0" borderId="10" xfId="0" applyFont="1" applyFill="1" applyBorder="1" applyAlignment="1" applyProtection="1">
      <alignment horizontal="left" vertical="center"/>
    </xf>
    <xf numFmtId="0" fontId="37" fillId="0" borderId="2" xfId="0" applyFont="1" applyFill="1" applyBorder="1" applyAlignment="1" applyProtection="1">
      <alignment horizontal="left" vertical="center"/>
    </xf>
    <xf numFmtId="0" fontId="37" fillId="0" borderId="1" xfId="0" applyFont="1" applyFill="1" applyBorder="1" applyAlignment="1" applyProtection="1">
      <alignment horizontal="center" vertical="center"/>
    </xf>
    <xf numFmtId="0" fontId="37" fillId="0" borderId="3" xfId="0" applyFont="1" applyFill="1" applyBorder="1" applyAlignment="1" applyProtection="1">
      <alignment horizontal="center" vertical="center"/>
    </xf>
    <xf numFmtId="173" fontId="37" fillId="0" borderId="1" xfId="0" applyNumberFormat="1" applyFont="1" applyFill="1" applyBorder="1" applyAlignment="1" applyProtection="1">
      <alignment horizontal="center" vertical="center"/>
    </xf>
    <xf numFmtId="173" fontId="37" fillId="0" borderId="2" xfId="0" applyNumberFormat="1" applyFont="1" applyFill="1" applyBorder="1" applyAlignment="1" applyProtection="1">
      <alignment horizontal="center" vertical="center"/>
    </xf>
    <xf numFmtId="173" fontId="37" fillId="0" borderId="3" xfId="0"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0" fontId="26" fillId="0" borderId="15" xfId="0" applyFont="1" applyFill="1" applyBorder="1" applyAlignment="1" applyProtection="1">
      <alignment horizontal="center" vertical="top" wrapText="1"/>
    </xf>
    <xf numFmtId="0" fontId="26" fillId="0" borderId="0" xfId="0" applyFont="1" applyFill="1" applyBorder="1" applyAlignment="1" applyProtection="1">
      <alignment horizontal="center" vertical="top" wrapText="1"/>
    </xf>
    <xf numFmtId="173" fontId="37" fillId="0" borderId="8" xfId="0" applyNumberFormat="1" applyFont="1" applyFill="1" applyBorder="1" applyAlignment="1" applyProtection="1">
      <alignment horizontal="center" vertical="center"/>
    </xf>
    <xf numFmtId="173" fontId="37" fillId="0" borderId="9" xfId="0" applyNumberFormat="1" applyFont="1" applyFill="1" applyBorder="1" applyAlignment="1" applyProtection="1">
      <alignment horizontal="center" vertical="center"/>
    </xf>
    <xf numFmtId="173" fontId="37" fillId="0" borderId="10" xfId="0" applyNumberFormat="1" applyFont="1" applyFill="1" applyBorder="1" applyAlignment="1" applyProtection="1">
      <alignment horizontal="center" vertical="center"/>
    </xf>
    <xf numFmtId="0" fontId="37" fillId="0" borderId="2" xfId="0" applyFont="1" applyFill="1" applyBorder="1" applyAlignment="1" applyProtection="1">
      <alignment horizontal="center" vertical="center"/>
    </xf>
    <xf numFmtId="14" fontId="8" fillId="0" borderId="2" xfId="0" applyNumberFormat="1" applyFont="1" applyBorder="1" applyAlignment="1">
      <alignment horizontal="left" vertical="center"/>
    </xf>
  </cellXfs>
  <cellStyles count="7">
    <cellStyle name="Komma 2" xfId="3" xr:uid="{00000000-0005-0000-0000-000001000000}"/>
    <cellStyle name="Lien hypertexte" xfId="1" builtinId="8"/>
    <cellStyle name="Milliers" xfId="2" builtinId="3"/>
    <cellStyle name="Normal" xfId="0" builtinId="0"/>
    <cellStyle name="Standard 2" xfId="6" xr:uid="{00000000-0005-0000-0000-000004000000}"/>
    <cellStyle name="Standard 3" xfId="4" xr:uid="{00000000-0005-0000-0000-000005000000}"/>
    <cellStyle name="Standard 4" xfId="5" xr:uid="{00000000-0005-0000-0000-000006000000}"/>
  </cellStyles>
  <dxfs count="232">
    <dxf>
      <fill>
        <patternFill>
          <bgColor rgb="FFFFCCCC"/>
        </patternFill>
      </fill>
    </dxf>
    <dxf>
      <font>
        <color theme="1"/>
      </font>
    </dxf>
    <dxf>
      <border>
        <top/>
        <vertical/>
        <horizontal/>
      </border>
    </dxf>
    <dxf>
      <font>
        <color theme="0"/>
      </font>
      <fill>
        <patternFill>
          <bgColor theme="0"/>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vertical/>
        <horizontal/>
      </border>
    </dxf>
    <dxf>
      <border>
        <top/>
        <vertical/>
        <horizontal/>
      </border>
    </dxf>
    <dxf>
      <font>
        <color theme="0"/>
      </font>
      <fill>
        <patternFill>
          <bgColor theme="0"/>
        </patternFill>
      </fill>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ont>
        <color theme="1"/>
      </font>
    </dxf>
    <dxf>
      <border>
        <left style="thin">
          <color auto="1"/>
        </left>
        <vertical/>
        <horizontal/>
      </border>
    </dxf>
    <dxf>
      <font>
        <color theme="0"/>
      </font>
      <border>
        <left/>
        <right/>
        <top/>
        <bottom/>
        <vertical/>
        <horizontal/>
      </border>
    </dxf>
    <dxf>
      <fill>
        <patternFill>
          <bgColor theme="0" tint="-0.14996795556505021"/>
        </patternFill>
      </fill>
    </dxf>
    <dxf>
      <font>
        <color theme="1"/>
      </font>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vertical/>
        <horizontal/>
      </border>
    </dxf>
    <dxf>
      <protection locked="0"/>
    </dxf>
    <dxf>
      <protection locked="0"/>
    </dxf>
    <dxf>
      <protection locked="0"/>
    </dxf>
    <dxf>
      <protection locked="0"/>
    </dxf>
    <dxf>
      <protection locked="0"/>
    </dxf>
    <dxf>
      <protection locked="0"/>
    </dxf>
    <dxf>
      <font>
        <color rgb="FFFF0000"/>
      </font>
      <fill>
        <patternFill>
          <bgColor rgb="FFFFCCCC"/>
        </patternFill>
      </fill>
    </dxf>
    <dxf>
      <font>
        <color rgb="FFFF0000"/>
      </font>
      <fill>
        <patternFill>
          <bgColor rgb="FFFFCCCC"/>
        </patternFill>
      </fill>
    </dxf>
    <dxf>
      <border>
        <bottom style="thin">
          <color auto="1"/>
        </bottom>
        <vertical/>
        <horizontal/>
      </border>
    </dxf>
    <dxf>
      <font>
        <color theme="0"/>
      </font>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patternType="none">
          <bgColor auto="1"/>
        </patternFill>
      </fill>
    </dxf>
    <dxf>
      <font>
        <color theme="0" tint="-0.24994659260841701"/>
      </font>
    </dxf>
    <dxf>
      <font>
        <color theme="0"/>
      </font>
      <fill>
        <patternFill>
          <bgColor theme="0"/>
        </patternFill>
      </fill>
    </dxf>
    <dxf>
      <font>
        <color theme="0" tint="-0.24994659260841701"/>
      </font>
    </dxf>
    <dxf>
      <font>
        <color theme="1"/>
      </font>
    </dxf>
    <dxf>
      <font>
        <color theme="1"/>
      </font>
    </dxf>
    <dxf>
      <font>
        <color theme="1"/>
      </font>
      <fill>
        <patternFill patternType="solid">
          <bgColor theme="0" tint="-0.14996795556505021"/>
        </patternFill>
      </fill>
    </dxf>
    <dxf>
      <font>
        <color rgb="FFFF0000"/>
      </font>
      <fill>
        <patternFill>
          <bgColor rgb="FFFFCCCC"/>
        </patternFill>
      </fill>
    </dxf>
    <dxf>
      <font>
        <color rgb="FFFF0000"/>
      </font>
      <fill>
        <patternFill>
          <bgColor rgb="FFFFCCCC"/>
        </patternFill>
      </fill>
    </dxf>
    <dxf>
      <font>
        <color theme="0" tint="-0.2499465926084170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tint="-0.14996795556505021"/>
      </font>
    </dxf>
    <dxf>
      <font>
        <color theme="0"/>
      </font>
      <fill>
        <patternFill>
          <bgColor theme="0"/>
        </patternFill>
      </fill>
    </dxf>
    <dxf>
      <font>
        <color theme="0"/>
      </font>
      <fill>
        <patternFill>
          <bgColor theme="0"/>
        </patternFill>
      </fill>
      <border>
        <left/>
        <right/>
        <top/>
        <bottom/>
        <vertical/>
        <horizontal/>
      </border>
    </dxf>
  </dxfs>
  <tableStyles count="0" defaultTableStyle="TableStyleMedium2" defaultPivotStyle="PivotStyleLight16"/>
  <colors>
    <mruColors>
      <color rgb="FFFFCCCC"/>
      <color rgb="FFFF9999"/>
      <color rgb="FF111111"/>
      <color rgb="FF8494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fmlaLink="$O$35"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O$2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P$21"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checked="Checked" firstButton="1" fmlaLink="$P$29"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O$39" lockText="1" noThreeD="1"/>
</file>

<file path=xl/ctrlProps/ctrlProp20.xml><?xml version="1.0" encoding="utf-8"?>
<formControlPr xmlns="http://schemas.microsoft.com/office/spreadsheetml/2009/9/main" objectType="CheckBox" checked="Checked" fmlaLink="$P$47"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checked="Checked" firstButton="1" fmlaLink="$O$6"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O$40"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O$41"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Radio" checked="Checked" firstButton="1" fmlaLink="$AK$17"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O$42" lockText="1" noThreeD="1"/>
</file>

<file path=xl/ctrlProps/ctrlProp50.xml><?xml version="1.0" encoding="utf-8"?>
<formControlPr xmlns="http://schemas.microsoft.com/office/spreadsheetml/2009/9/main" objectType="Radio" checked="Checked" firstButton="1" fmlaLink="$AL$17"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firstButton="1" fmlaLink="$AM$17"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checked="Checked" firstButton="1" fmlaLink="$AV$17"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checked="Checked" firstButton="1" fmlaLink="$AN$17" lockText="1" noThreeD="1"/>
</file>

<file path=xl/ctrlProps/ctrlProp6.xml><?xml version="1.0" encoding="utf-8"?>
<formControlPr xmlns="http://schemas.microsoft.com/office/spreadsheetml/2009/9/main" objectType="CheckBox" fmlaLink="$P$39"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firstButton="1" fmlaLink="$AO$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checked="Checked" firstButton="1" fmlaLink="$AP$17"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checked="Checked" firstButton="1" fmlaLink="$AH$10"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fmlaLink="$AH$13"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fmlaLink="$P$46" lockText="1" noThreeD="1"/>
</file>

<file path=xl/ctrlProps/ctrlProp70.xml><?xml version="1.0" encoding="utf-8"?>
<formControlPr xmlns="http://schemas.microsoft.com/office/spreadsheetml/2009/9/main" objectType="CheckBox" fmlaLink="$AH$33" lockText="1" noThreeD="1"/>
</file>

<file path=xl/ctrlProps/ctrlProp71.xml><?xml version="1.0" encoding="utf-8"?>
<formControlPr xmlns="http://schemas.microsoft.com/office/spreadsheetml/2009/9/main" objectType="CheckBox" fmlaLink="$AH$34" lockText="1" noThreeD="1"/>
</file>

<file path=xl/ctrlProps/ctrlProp72.xml><?xml version="1.0" encoding="utf-8"?>
<formControlPr xmlns="http://schemas.microsoft.com/office/spreadsheetml/2009/9/main" objectType="CheckBox" fmlaLink="$AH$35" lockText="1" noThreeD="1"/>
</file>

<file path=xl/ctrlProps/ctrlProp73.xml><?xml version="1.0" encoding="utf-8"?>
<formControlPr xmlns="http://schemas.microsoft.com/office/spreadsheetml/2009/9/main" objectType="CheckBox" fmlaLink="$AH$36" lockText="1" noThreeD="1"/>
</file>

<file path=xl/ctrlProps/ctrlProp74.xml><?xml version="1.0" encoding="utf-8"?>
<formControlPr xmlns="http://schemas.microsoft.com/office/spreadsheetml/2009/9/main" objectType="CheckBox" fmlaLink="$AH$16" lockText="1" noThreeD="1"/>
</file>

<file path=xl/ctrlProps/ctrlProp75.xml><?xml version="1.0" encoding="utf-8"?>
<formControlPr xmlns="http://schemas.microsoft.com/office/spreadsheetml/2009/9/main" objectType="CheckBox" fmlaLink="$AH$17" lockText="1" noThreeD="1"/>
</file>

<file path=xl/ctrlProps/ctrlProp76.xml><?xml version="1.0" encoding="utf-8"?>
<formControlPr xmlns="http://schemas.microsoft.com/office/spreadsheetml/2009/9/main" objectType="CheckBox" checked="Checked" fmlaLink="$AH$18" lockText="1" noThreeD="1"/>
</file>

<file path=xl/ctrlProps/ctrlProp77.xml><?xml version="1.0" encoding="utf-8"?>
<formControlPr xmlns="http://schemas.microsoft.com/office/spreadsheetml/2009/9/main" objectType="CheckBox" fmlaLink="$AH$19" lockText="1" noThreeD="1"/>
</file>

<file path=xl/ctrlProps/ctrlProp78.xml><?xml version="1.0" encoding="utf-8"?>
<formControlPr xmlns="http://schemas.microsoft.com/office/spreadsheetml/2009/9/main" objectType="CheckBox" fmlaLink="$AH$20" lockText="1" noThreeD="1"/>
</file>

<file path=xl/ctrlProps/ctrlProp79.xml><?xml version="1.0" encoding="utf-8"?>
<formControlPr xmlns="http://schemas.microsoft.com/office/spreadsheetml/2009/9/main" objectType="CheckBox" fmlaLink="$AH$21" lockText="1" noThreeD="1"/>
</file>

<file path=xl/ctrlProps/ctrlProp8.xml><?xml version="1.0" encoding="utf-8"?>
<formControlPr xmlns="http://schemas.microsoft.com/office/spreadsheetml/2009/9/main" objectType="CheckBox" fmlaLink="$P$54" lockText="1" noThreeD="1"/>
</file>

<file path=xl/ctrlProps/ctrlProp80.xml><?xml version="1.0" encoding="utf-8"?>
<formControlPr xmlns="http://schemas.microsoft.com/office/spreadsheetml/2009/9/main" objectType="CheckBox" fmlaLink="$AH$22" lockText="1" noThreeD="1"/>
</file>

<file path=xl/ctrlProps/ctrlProp81.xml><?xml version="1.0" encoding="utf-8"?>
<formControlPr xmlns="http://schemas.microsoft.com/office/spreadsheetml/2009/9/main" objectType="CheckBox" fmlaLink="$AH$23" lockText="1" noThreeD="1"/>
</file>

<file path=xl/ctrlProps/ctrlProp82.xml><?xml version="1.0" encoding="utf-8"?>
<formControlPr xmlns="http://schemas.microsoft.com/office/spreadsheetml/2009/9/main" objectType="CheckBox" fmlaLink="$AH$24" lockText="1" noThreeD="1"/>
</file>

<file path=xl/ctrlProps/ctrlProp83.xml><?xml version="1.0" encoding="utf-8"?>
<formControlPr xmlns="http://schemas.microsoft.com/office/spreadsheetml/2009/9/main" objectType="CheckBox" fmlaLink="$AH$27" lockText="1" noThreeD="1"/>
</file>

<file path=xl/ctrlProps/ctrlProp84.xml><?xml version="1.0" encoding="utf-8"?>
<formControlPr xmlns="http://schemas.microsoft.com/office/spreadsheetml/2009/9/main" objectType="CheckBox" fmlaLink="$AH$28" lockText="1" noThreeD="1"/>
</file>

<file path=xl/ctrlProps/ctrlProp85.xml><?xml version="1.0" encoding="utf-8"?>
<formControlPr xmlns="http://schemas.microsoft.com/office/spreadsheetml/2009/9/main" objectType="CheckBox" fmlaLink="$AH$29" lockText="1" noThreeD="1"/>
</file>

<file path=xl/ctrlProps/ctrlProp86.xml><?xml version="1.0" encoding="utf-8"?>
<formControlPr xmlns="http://schemas.microsoft.com/office/spreadsheetml/2009/9/main" objectType="CheckBox" fmlaLink="$AH$30" lockText="1" noThreeD="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CheckBox" fmlaLink="$AH$25" lockText="1" noThreeD="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Radio" checked="Checked" firstButton="1" fmlaLink="$Q$4"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Radio" checked="Checked" firstButton="1" fmlaLink="$Q$4" lockText="1" noThreeD="1"/>
</file>

<file path=xl/ctrlProps/ctrlProp97.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8.png"/><Relationship Id="rId18" Type="http://schemas.openxmlformats.org/officeDocument/2006/relationships/image" Target="../media/image44.png"/><Relationship Id="rId3" Type="http://schemas.openxmlformats.org/officeDocument/2006/relationships/image" Target="../media/image33.png"/><Relationship Id="rId21" Type="http://schemas.openxmlformats.org/officeDocument/2006/relationships/image" Target="../media/image47.emf"/><Relationship Id="rId7" Type="http://schemas.openxmlformats.org/officeDocument/2006/relationships/image" Target="../media/image11.png"/><Relationship Id="rId12" Type="http://schemas.openxmlformats.org/officeDocument/2006/relationships/image" Target="../media/image39.png"/><Relationship Id="rId17" Type="http://schemas.openxmlformats.org/officeDocument/2006/relationships/image" Target="../media/image43.png"/><Relationship Id="rId2" Type="http://schemas.openxmlformats.org/officeDocument/2006/relationships/image" Target="../media/image32.png"/><Relationship Id="rId16" Type="http://schemas.openxmlformats.org/officeDocument/2006/relationships/image" Target="../media/image42.png"/><Relationship Id="rId20" Type="http://schemas.openxmlformats.org/officeDocument/2006/relationships/image" Target="../media/image46.emf"/><Relationship Id="rId1" Type="http://schemas.openxmlformats.org/officeDocument/2006/relationships/image" Target="../media/image31.png"/><Relationship Id="rId6" Type="http://schemas.openxmlformats.org/officeDocument/2006/relationships/image" Target="../media/image10.png"/><Relationship Id="rId11" Type="http://schemas.openxmlformats.org/officeDocument/2006/relationships/image" Target="../media/image38.png"/><Relationship Id="rId24" Type="http://schemas.openxmlformats.org/officeDocument/2006/relationships/image" Target="../media/image50.jpeg"/><Relationship Id="rId5" Type="http://schemas.openxmlformats.org/officeDocument/2006/relationships/image" Target="../media/image9.png"/><Relationship Id="rId15" Type="http://schemas.openxmlformats.org/officeDocument/2006/relationships/image" Target="../media/image41.png"/><Relationship Id="rId23" Type="http://schemas.openxmlformats.org/officeDocument/2006/relationships/image" Target="../media/image49.emf"/><Relationship Id="rId10" Type="http://schemas.openxmlformats.org/officeDocument/2006/relationships/image" Target="../media/image37.png"/><Relationship Id="rId19" Type="http://schemas.openxmlformats.org/officeDocument/2006/relationships/image" Target="../media/image45.png"/><Relationship Id="rId4" Type="http://schemas.openxmlformats.org/officeDocument/2006/relationships/image" Target="../media/image34.png"/><Relationship Id="rId9" Type="http://schemas.openxmlformats.org/officeDocument/2006/relationships/image" Target="../media/image36.emf"/><Relationship Id="rId14" Type="http://schemas.openxmlformats.org/officeDocument/2006/relationships/image" Target="../media/image40.png"/><Relationship Id="rId22" Type="http://schemas.openxmlformats.org/officeDocument/2006/relationships/image" Target="../media/image48.emf"/></Relationships>
</file>

<file path=xl/drawings/_rels/drawing5.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 Id="rId6" Type="http://schemas.openxmlformats.org/officeDocument/2006/relationships/image" Target="../media/image56.emf"/><Relationship Id="rId5" Type="http://schemas.openxmlformats.org/officeDocument/2006/relationships/image" Target="../media/image55.emf"/><Relationship Id="rId4"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19961</xdr:rowOff>
    </xdr:from>
    <xdr:to>
      <xdr:col>1</xdr:col>
      <xdr:colOff>760178</xdr:colOff>
      <xdr:row>2</xdr:row>
      <xdr:rowOff>399139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961"/>
          <a:ext cx="760178" cy="760178"/>
        </a:xfrm>
        <a:prstGeom prst="rect">
          <a:avLst/>
        </a:prstGeom>
      </xdr:spPr>
    </xdr:pic>
    <xdr:clientData/>
  </xdr:twoCellAnchor>
  <xdr:oneCellAnchor>
    <xdr:from>
      <xdr:col>1</xdr:col>
      <xdr:colOff>85725</xdr:colOff>
      <xdr:row>24</xdr:row>
      <xdr:rowOff>190499</xdr:rowOff>
    </xdr:from>
    <xdr:ext cx="2181225" cy="558123"/>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4429124"/>
          <a:ext cx="2181225" cy="558123"/>
        </a:xfrm>
        <a:prstGeom prst="rect">
          <a:avLst/>
        </a:prstGeom>
      </xdr:spPr>
    </xdr:pic>
    <xdr:clientData/>
  </xdr:oneCellAnchor>
  <xdr:twoCellAnchor>
    <xdr:from>
      <xdr:col>1</xdr:col>
      <xdr:colOff>600075</xdr:colOff>
      <xdr:row>25</xdr:row>
      <xdr:rowOff>180975</xdr:rowOff>
    </xdr:from>
    <xdr:to>
      <xdr:col>3</xdr:col>
      <xdr:colOff>142875</xdr:colOff>
      <xdr:row>25</xdr:row>
      <xdr:rowOff>180975</xdr:rowOff>
    </xdr:to>
    <xdr:cxnSp macro="">
      <xdr:nvCxnSpPr>
        <xdr:cNvPr id="6" name="Gerade Verbindung mit Pfeil 5">
          <a:extLst>
            <a:ext uri="{FF2B5EF4-FFF2-40B4-BE49-F238E27FC236}">
              <a16:creationId xmlns:a16="http://schemas.microsoft.com/office/drawing/2014/main" id="{00000000-0008-0000-0000-000006000000}"/>
            </a:ext>
          </a:extLst>
        </xdr:cNvPr>
        <xdr:cNvCxnSpPr/>
      </xdr:nvCxnSpPr>
      <xdr:spPr>
        <a:xfrm>
          <a:off x="781050" y="4610100"/>
          <a:ext cx="1133475" cy="0"/>
        </a:xfrm>
        <a:prstGeom prst="straightConnector1">
          <a:avLst/>
        </a:prstGeom>
        <a:ln>
          <a:headEnd type="triangle"/>
          <a:tailEnd type="triangle"/>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33</xdr:row>
          <xdr:rowOff>175260</xdr:rowOff>
        </xdr:from>
        <xdr:to>
          <xdr:col>1</xdr:col>
          <xdr:colOff>304800</xdr:colOff>
          <xdr:row>35</xdr:row>
          <xdr:rowOff>45720</xdr:rowOff>
        </xdr:to>
        <xdr:sp macro="" textlink="">
          <xdr:nvSpPr>
            <xdr:cNvPr id="133129" name="Check Box 9" hidden="1">
              <a:extLst>
                <a:ext uri="{63B3BB69-23CF-44E3-9099-C40C66FF867C}">
                  <a14:compatExt spid="_x0000_s133129"/>
                </a:ext>
                <a:ext uri="{FF2B5EF4-FFF2-40B4-BE49-F238E27FC236}">
                  <a16:creationId xmlns:a16="http://schemas.microsoft.com/office/drawing/2014/main" id="{00000000-0008-0000-0000-00000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30480</xdr:rowOff>
        </xdr:from>
        <xdr:to>
          <xdr:col>1</xdr:col>
          <xdr:colOff>342900</xdr:colOff>
          <xdr:row>40</xdr:row>
          <xdr:rowOff>160020</xdr:rowOff>
        </xdr:to>
        <xdr:sp macro="" textlink="">
          <xdr:nvSpPr>
            <xdr:cNvPr id="133133" name="Check Box 13" hidden="1">
              <a:extLst>
                <a:ext uri="{63B3BB69-23CF-44E3-9099-C40C66FF867C}">
                  <a14:compatExt spid="_x0000_s133133"/>
                </a:ext>
                <a:ext uri="{FF2B5EF4-FFF2-40B4-BE49-F238E27FC236}">
                  <a16:creationId xmlns:a16="http://schemas.microsoft.com/office/drawing/2014/main" id="{00000000-0008-0000-0000-00000D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30480</xdr:rowOff>
        </xdr:from>
        <xdr:to>
          <xdr:col>1</xdr:col>
          <xdr:colOff>342900</xdr:colOff>
          <xdr:row>39</xdr:row>
          <xdr:rowOff>160020</xdr:rowOff>
        </xdr:to>
        <xdr:sp macro="" textlink="">
          <xdr:nvSpPr>
            <xdr:cNvPr id="133134" name="Check Box 14" hidden="1">
              <a:extLst>
                <a:ext uri="{63B3BB69-23CF-44E3-9099-C40C66FF867C}">
                  <a14:compatExt spid="_x0000_s133134"/>
                </a:ext>
                <a:ext uri="{FF2B5EF4-FFF2-40B4-BE49-F238E27FC236}">
                  <a16:creationId xmlns:a16="http://schemas.microsoft.com/office/drawing/2014/main" id="{00000000-0008-0000-0000-00000E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68580</xdr:rowOff>
        </xdr:from>
        <xdr:to>
          <xdr:col>1</xdr:col>
          <xdr:colOff>342900</xdr:colOff>
          <xdr:row>38</xdr:row>
          <xdr:rowOff>198120</xdr:rowOff>
        </xdr:to>
        <xdr:sp macro="" textlink="">
          <xdr:nvSpPr>
            <xdr:cNvPr id="133135" name="Check Box 15" hidden="1">
              <a:extLst>
                <a:ext uri="{63B3BB69-23CF-44E3-9099-C40C66FF867C}">
                  <a14:compatExt spid="_x0000_s133135"/>
                </a:ext>
                <a:ext uri="{FF2B5EF4-FFF2-40B4-BE49-F238E27FC236}">
                  <a16:creationId xmlns:a16="http://schemas.microsoft.com/office/drawing/2014/main" id="{00000000-0008-0000-0000-00000F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30480</xdr:rowOff>
        </xdr:from>
        <xdr:to>
          <xdr:col>1</xdr:col>
          <xdr:colOff>342900</xdr:colOff>
          <xdr:row>41</xdr:row>
          <xdr:rowOff>160020</xdr:rowOff>
        </xdr:to>
        <xdr:sp macro="" textlink="">
          <xdr:nvSpPr>
            <xdr:cNvPr id="133136" name="Check Box 16" hidden="1">
              <a:extLst>
                <a:ext uri="{63B3BB69-23CF-44E3-9099-C40C66FF867C}">
                  <a14:compatExt spid="_x0000_s133136"/>
                </a:ext>
                <a:ext uri="{FF2B5EF4-FFF2-40B4-BE49-F238E27FC236}">
                  <a16:creationId xmlns:a16="http://schemas.microsoft.com/office/drawing/2014/main" id="{00000000-0008-0000-0000-000010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95664</xdr:colOff>
      <xdr:row>18</xdr:row>
      <xdr:rowOff>190500</xdr:rowOff>
    </xdr:from>
    <xdr:to>
      <xdr:col>4</xdr:col>
      <xdr:colOff>95664</xdr:colOff>
      <xdr:row>43</xdr:row>
      <xdr:rowOff>109904</xdr:rowOff>
    </xdr:to>
    <xdr:cxnSp macro="">
      <xdr:nvCxnSpPr>
        <xdr:cNvPr id="8" name="Gerader Verbinder 7">
          <a:extLst>
            <a:ext uri="{FF2B5EF4-FFF2-40B4-BE49-F238E27FC236}">
              <a16:creationId xmlns:a16="http://schemas.microsoft.com/office/drawing/2014/main" id="{00000000-0008-0000-0000-000008000000}"/>
            </a:ext>
          </a:extLst>
        </xdr:cNvPr>
        <xdr:cNvCxnSpPr/>
      </xdr:nvCxnSpPr>
      <xdr:spPr>
        <a:xfrm>
          <a:off x="3143664" y="3194538"/>
          <a:ext cx="0" cy="482844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219077</xdr:colOff>
      <xdr:row>20</xdr:row>
      <xdr:rowOff>142875</xdr:rowOff>
    </xdr:from>
    <xdr:to>
      <xdr:col>7</xdr:col>
      <xdr:colOff>266701</xdr:colOff>
      <xdr:row>25</xdr:row>
      <xdr:rowOff>9525</xdr:rowOff>
    </xdr:to>
    <xdr:pic>
      <xdr:nvPicPr>
        <xdr:cNvPr id="86" name="Grafik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867027" y="3543300"/>
          <a:ext cx="1571624" cy="895350"/>
        </a:xfrm>
        <a:prstGeom prst="rect">
          <a:avLst/>
        </a:prstGeom>
      </xdr:spPr>
    </xdr:pic>
    <xdr:clientData/>
  </xdr:twoCellAnchor>
  <xdr:twoCellAnchor>
    <xdr:from>
      <xdr:col>5</xdr:col>
      <xdr:colOff>219076</xdr:colOff>
      <xdr:row>28</xdr:row>
      <xdr:rowOff>8540</xdr:rowOff>
    </xdr:from>
    <xdr:to>
      <xdr:col>7</xdr:col>
      <xdr:colOff>209550</xdr:colOff>
      <xdr:row>32</xdr:row>
      <xdr:rowOff>76162</xdr:rowOff>
    </xdr:to>
    <xdr:pic>
      <xdr:nvPicPr>
        <xdr:cNvPr id="87" name="Grafik 86">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581401" y="4704365"/>
          <a:ext cx="1514474" cy="829622"/>
        </a:xfrm>
        <a:prstGeom prst="rect">
          <a:avLst/>
        </a:prstGeom>
      </xdr:spPr>
    </xdr:pic>
    <xdr:clientData/>
  </xdr:twoCellAnchor>
  <xdr:twoCellAnchor>
    <xdr:from>
      <xdr:col>5</xdr:col>
      <xdr:colOff>219077</xdr:colOff>
      <xdr:row>35</xdr:row>
      <xdr:rowOff>160658</xdr:rowOff>
    </xdr:from>
    <xdr:to>
      <xdr:col>7</xdr:col>
      <xdr:colOff>161925</xdr:colOff>
      <xdr:row>40</xdr:row>
      <xdr:rowOff>30900</xdr:rowOff>
    </xdr:to>
    <xdr:pic>
      <xdr:nvPicPr>
        <xdr:cNvPr id="88" name="Grafik 87">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819816" y="6215245"/>
          <a:ext cx="1466848" cy="822742"/>
        </a:xfrm>
        <a:prstGeom prst="rect">
          <a:avLst/>
        </a:prstGeom>
      </xdr:spPr>
    </xdr:pic>
    <xdr:clientData/>
  </xdr:twoCellAnchor>
  <xdr:twoCellAnchor>
    <xdr:from>
      <xdr:col>8</xdr:col>
      <xdr:colOff>103947</xdr:colOff>
      <xdr:row>19</xdr:row>
      <xdr:rowOff>0</xdr:rowOff>
    </xdr:from>
    <xdr:to>
      <xdr:col>8</xdr:col>
      <xdr:colOff>103947</xdr:colOff>
      <xdr:row>47</xdr:row>
      <xdr:rowOff>13939</xdr:rowOff>
    </xdr:to>
    <xdr:cxnSp macro="">
      <xdr:nvCxnSpPr>
        <xdr:cNvPr id="93" name="Gerader Verbinder 92">
          <a:extLst>
            <a:ext uri="{FF2B5EF4-FFF2-40B4-BE49-F238E27FC236}">
              <a16:creationId xmlns:a16="http://schemas.microsoft.com/office/drawing/2014/main" id="{00000000-0008-0000-0000-00005D000000}"/>
            </a:ext>
          </a:extLst>
        </xdr:cNvPr>
        <xdr:cNvCxnSpPr/>
      </xdr:nvCxnSpPr>
      <xdr:spPr>
        <a:xfrm>
          <a:off x="4806045" y="3196683"/>
          <a:ext cx="0" cy="549662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87924</xdr:colOff>
      <xdr:row>34</xdr:row>
      <xdr:rowOff>90488</xdr:rowOff>
    </xdr:from>
    <xdr:to>
      <xdr:col>13</xdr:col>
      <xdr:colOff>107674</xdr:colOff>
      <xdr:row>34</xdr:row>
      <xdr:rowOff>90488</xdr:rowOff>
    </xdr:to>
    <xdr:cxnSp macro="">
      <xdr:nvCxnSpPr>
        <xdr:cNvPr id="96" name="Gerader Verbinder 95">
          <a:extLst>
            <a:ext uri="{FF2B5EF4-FFF2-40B4-BE49-F238E27FC236}">
              <a16:creationId xmlns:a16="http://schemas.microsoft.com/office/drawing/2014/main" id="{00000000-0008-0000-0000-000060000000}"/>
            </a:ext>
          </a:extLst>
        </xdr:cNvPr>
        <xdr:cNvCxnSpPr/>
      </xdr:nvCxnSpPr>
      <xdr:spPr>
        <a:xfrm flipH="1">
          <a:off x="2556141" y="6327292"/>
          <a:ext cx="4699424"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38100</xdr:colOff>
          <xdr:row>20</xdr:row>
          <xdr:rowOff>106680</xdr:rowOff>
        </xdr:from>
        <xdr:to>
          <xdr:col>11</xdr:col>
          <xdr:colOff>601980</xdr:colOff>
          <xdr:row>23</xdr:row>
          <xdr:rowOff>106680</xdr:rowOff>
        </xdr:to>
        <xdr:sp macro="" textlink="">
          <xdr:nvSpPr>
            <xdr:cNvPr id="133204" name="Object 84" hidden="1">
              <a:extLst>
                <a:ext uri="{63B3BB69-23CF-44E3-9099-C40C66FF867C}">
                  <a14:compatExt spid="_x0000_s133204"/>
                </a:ext>
                <a:ext uri="{FF2B5EF4-FFF2-40B4-BE49-F238E27FC236}">
                  <a16:creationId xmlns:a16="http://schemas.microsoft.com/office/drawing/2014/main" id="{00000000-0008-0000-0000-000054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20</xdr:row>
          <xdr:rowOff>68580</xdr:rowOff>
        </xdr:from>
        <xdr:to>
          <xdr:col>9</xdr:col>
          <xdr:colOff>640080</xdr:colOff>
          <xdr:row>23</xdr:row>
          <xdr:rowOff>83820</xdr:rowOff>
        </xdr:to>
        <xdr:sp macro="" textlink="">
          <xdr:nvSpPr>
            <xdr:cNvPr id="133205" name="Object 85" hidden="1">
              <a:extLst>
                <a:ext uri="{63B3BB69-23CF-44E3-9099-C40C66FF867C}">
                  <a14:compatExt spid="_x0000_s133205"/>
                </a:ext>
                <a:ext uri="{FF2B5EF4-FFF2-40B4-BE49-F238E27FC236}">
                  <a16:creationId xmlns:a16="http://schemas.microsoft.com/office/drawing/2014/main" id="{00000000-0008-0000-0000-000055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xdr:col>
      <xdr:colOff>102577</xdr:colOff>
      <xdr:row>26</xdr:row>
      <xdr:rowOff>109538</xdr:rowOff>
    </xdr:from>
    <xdr:to>
      <xdr:col>13</xdr:col>
      <xdr:colOff>124558</xdr:colOff>
      <xdr:row>26</xdr:row>
      <xdr:rowOff>109538</xdr:rowOff>
    </xdr:to>
    <xdr:cxnSp macro="">
      <xdr:nvCxnSpPr>
        <xdr:cNvPr id="32" name="Gerader Verbinder 31">
          <a:extLst>
            <a:ext uri="{FF2B5EF4-FFF2-40B4-BE49-F238E27FC236}">
              <a16:creationId xmlns:a16="http://schemas.microsoft.com/office/drawing/2014/main" id="{00000000-0008-0000-0000-000020000000}"/>
            </a:ext>
          </a:extLst>
        </xdr:cNvPr>
        <xdr:cNvCxnSpPr/>
      </xdr:nvCxnSpPr>
      <xdr:spPr>
        <a:xfrm flipH="1">
          <a:off x="2571750" y="4710846"/>
          <a:ext cx="4703885"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220980</xdr:colOff>
          <xdr:row>30</xdr:row>
          <xdr:rowOff>38100</xdr:rowOff>
        </xdr:from>
        <xdr:to>
          <xdr:col>10</xdr:col>
          <xdr:colOff>83820</xdr:colOff>
          <xdr:row>33</xdr:row>
          <xdr:rowOff>175260</xdr:rowOff>
        </xdr:to>
        <xdr:sp macro="" textlink="">
          <xdr:nvSpPr>
            <xdr:cNvPr id="133206" name="Object 86" hidden="1">
              <a:extLst>
                <a:ext uri="{63B3BB69-23CF-44E3-9099-C40C66FF867C}">
                  <a14:compatExt spid="_x0000_s133206"/>
                </a:ext>
                <a:ext uri="{FF2B5EF4-FFF2-40B4-BE49-F238E27FC236}">
                  <a16:creationId xmlns:a16="http://schemas.microsoft.com/office/drawing/2014/main" id="{00000000-0008-0000-0000-000056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30</xdr:row>
          <xdr:rowOff>38100</xdr:rowOff>
        </xdr:from>
        <xdr:to>
          <xdr:col>11</xdr:col>
          <xdr:colOff>571500</xdr:colOff>
          <xdr:row>33</xdr:row>
          <xdr:rowOff>182880</xdr:rowOff>
        </xdr:to>
        <xdr:sp macro="" textlink="">
          <xdr:nvSpPr>
            <xdr:cNvPr id="133207" name="Object 87" hidden="1">
              <a:extLst>
                <a:ext uri="{63B3BB69-23CF-44E3-9099-C40C66FF867C}">
                  <a14:compatExt spid="_x0000_s133207"/>
                </a:ext>
                <a:ext uri="{FF2B5EF4-FFF2-40B4-BE49-F238E27FC236}">
                  <a16:creationId xmlns:a16="http://schemas.microsoft.com/office/drawing/2014/main" id="{00000000-0008-0000-0000-000057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102578</xdr:colOff>
      <xdr:row>43</xdr:row>
      <xdr:rowOff>101255</xdr:rowOff>
    </xdr:from>
    <xdr:to>
      <xdr:col>13</xdr:col>
      <xdr:colOff>124558</xdr:colOff>
      <xdr:row>43</xdr:row>
      <xdr:rowOff>101255</xdr:rowOff>
    </xdr:to>
    <xdr:cxnSp macro="">
      <xdr:nvCxnSpPr>
        <xdr:cNvPr id="38" name="Gerader Verbinder 37">
          <a:extLst>
            <a:ext uri="{FF2B5EF4-FFF2-40B4-BE49-F238E27FC236}">
              <a16:creationId xmlns:a16="http://schemas.microsoft.com/office/drawing/2014/main" id="{00000000-0008-0000-0000-000026000000}"/>
            </a:ext>
          </a:extLst>
        </xdr:cNvPr>
        <xdr:cNvCxnSpPr/>
      </xdr:nvCxnSpPr>
      <xdr:spPr>
        <a:xfrm flipH="1">
          <a:off x="102578" y="8014332"/>
          <a:ext cx="7173057"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7620</xdr:colOff>
          <xdr:row>35</xdr:row>
          <xdr:rowOff>7620</xdr:rowOff>
        </xdr:from>
        <xdr:to>
          <xdr:col>9</xdr:col>
          <xdr:colOff>518160</xdr:colOff>
          <xdr:row>38</xdr:row>
          <xdr:rowOff>190500</xdr:rowOff>
        </xdr:to>
        <xdr:sp macro="" textlink="">
          <xdr:nvSpPr>
            <xdr:cNvPr id="133210" name="Object 90" hidden="1">
              <a:extLst>
                <a:ext uri="{63B3BB69-23CF-44E3-9099-C40C66FF867C}">
                  <a14:compatExt spid="_x0000_s133210"/>
                </a:ext>
                <a:ext uri="{FF2B5EF4-FFF2-40B4-BE49-F238E27FC236}">
                  <a16:creationId xmlns:a16="http://schemas.microsoft.com/office/drawing/2014/main" id="{00000000-0008-0000-0000-00005A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37</xdr:row>
          <xdr:rowOff>38100</xdr:rowOff>
        </xdr:from>
        <xdr:to>
          <xdr:col>9</xdr:col>
          <xdr:colOff>754380</xdr:colOff>
          <xdr:row>37</xdr:row>
          <xdr:rowOff>175260</xdr:rowOff>
        </xdr:to>
        <xdr:sp macro="" textlink="">
          <xdr:nvSpPr>
            <xdr:cNvPr id="133211" name="Check Box 91" hidden="1">
              <a:extLst>
                <a:ext uri="{63B3BB69-23CF-44E3-9099-C40C66FF867C}">
                  <a14:compatExt spid="_x0000_s133211"/>
                </a:ext>
                <a:ext uri="{FF2B5EF4-FFF2-40B4-BE49-F238E27FC236}">
                  <a16:creationId xmlns:a16="http://schemas.microsoft.com/office/drawing/2014/main" id="{00000000-0008-0000-0000-00005B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40</xdr:row>
          <xdr:rowOff>106680</xdr:rowOff>
        </xdr:from>
        <xdr:to>
          <xdr:col>9</xdr:col>
          <xdr:colOff>518160</xdr:colOff>
          <xdr:row>42</xdr:row>
          <xdr:rowOff>160020</xdr:rowOff>
        </xdr:to>
        <xdr:sp macro="" textlink="">
          <xdr:nvSpPr>
            <xdr:cNvPr id="133213" name="Object 93" hidden="1">
              <a:extLst>
                <a:ext uri="{63B3BB69-23CF-44E3-9099-C40C66FF867C}">
                  <a14:compatExt spid="_x0000_s133213"/>
                </a:ext>
                <a:ext uri="{FF2B5EF4-FFF2-40B4-BE49-F238E27FC236}">
                  <a16:creationId xmlns:a16="http://schemas.microsoft.com/office/drawing/2014/main" id="{00000000-0008-0000-0000-00005D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42</xdr:row>
          <xdr:rowOff>38100</xdr:rowOff>
        </xdr:from>
        <xdr:to>
          <xdr:col>9</xdr:col>
          <xdr:colOff>754380</xdr:colOff>
          <xdr:row>42</xdr:row>
          <xdr:rowOff>175260</xdr:rowOff>
        </xdr:to>
        <xdr:sp macro="" textlink="">
          <xdr:nvSpPr>
            <xdr:cNvPr id="133214" name="Check Box 94" hidden="1">
              <a:extLst>
                <a:ext uri="{63B3BB69-23CF-44E3-9099-C40C66FF867C}">
                  <a14:compatExt spid="_x0000_s133214"/>
                </a:ext>
                <a:ext uri="{FF2B5EF4-FFF2-40B4-BE49-F238E27FC236}">
                  <a16:creationId xmlns:a16="http://schemas.microsoft.com/office/drawing/2014/main" id="{00000000-0008-0000-0000-00005E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95251</xdr:colOff>
      <xdr:row>47</xdr:row>
      <xdr:rowOff>6005</xdr:rowOff>
    </xdr:from>
    <xdr:to>
      <xdr:col>13</xdr:col>
      <xdr:colOff>124558</xdr:colOff>
      <xdr:row>47</xdr:row>
      <xdr:rowOff>6005</xdr:rowOff>
    </xdr:to>
    <xdr:cxnSp macro="">
      <xdr:nvCxnSpPr>
        <xdr:cNvPr id="47" name="Gerader Verbinder 46">
          <a:extLst>
            <a:ext uri="{FF2B5EF4-FFF2-40B4-BE49-F238E27FC236}">
              <a16:creationId xmlns:a16="http://schemas.microsoft.com/office/drawing/2014/main" id="{00000000-0008-0000-0000-00002F000000}"/>
            </a:ext>
          </a:extLst>
        </xdr:cNvPr>
        <xdr:cNvCxnSpPr/>
      </xdr:nvCxnSpPr>
      <xdr:spPr>
        <a:xfrm flipH="1">
          <a:off x="4800601" y="8702330"/>
          <a:ext cx="2534382"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8</xdr:col>
          <xdr:colOff>312420</xdr:colOff>
          <xdr:row>48</xdr:row>
          <xdr:rowOff>38100</xdr:rowOff>
        </xdr:from>
        <xdr:to>
          <xdr:col>9</xdr:col>
          <xdr:colOff>190500</xdr:colOff>
          <xdr:row>48</xdr:row>
          <xdr:rowOff>175260</xdr:rowOff>
        </xdr:to>
        <xdr:sp macro="" textlink="">
          <xdr:nvSpPr>
            <xdr:cNvPr id="133216" name="Check Box 96" hidden="1">
              <a:extLst>
                <a:ext uri="{63B3BB69-23CF-44E3-9099-C40C66FF867C}">
                  <a14:compatExt spid="_x0000_s133216"/>
                </a:ext>
                <a:ext uri="{FF2B5EF4-FFF2-40B4-BE49-F238E27FC236}">
                  <a16:creationId xmlns:a16="http://schemas.microsoft.com/office/drawing/2014/main" id="{00000000-0008-0000-0000-000060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19</xdr:row>
          <xdr:rowOff>7620</xdr:rowOff>
        </xdr:from>
        <xdr:to>
          <xdr:col>8</xdr:col>
          <xdr:colOff>106680</xdr:colOff>
          <xdr:row>43</xdr:row>
          <xdr:rowOff>99060</xdr:rowOff>
        </xdr:to>
        <xdr:sp macro="" textlink="">
          <xdr:nvSpPr>
            <xdr:cNvPr id="133217" name="Group Box 97" hidden="1">
              <a:extLst>
                <a:ext uri="{63B3BB69-23CF-44E3-9099-C40C66FF867C}">
                  <a14:compatExt spid="_x0000_s133217"/>
                </a:ext>
                <a:ext uri="{FF2B5EF4-FFF2-40B4-BE49-F238E27FC236}">
                  <a16:creationId xmlns:a16="http://schemas.microsoft.com/office/drawing/2014/main" id="{00000000-0008-0000-0000-0000610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19</xdr:row>
          <xdr:rowOff>7620</xdr:rowOff>
        </xdr:from>
        <xdr:to>
          <xdr:col>13</xdr:col>
          <xdr:colOff>114300</xdr:colOff>
          <xdr:row>26</xdr:row>
          <xdr:rowOff>106680</xdr:rowOff>
        </xdr:to>
        <xdr:sp macro="" textlink="">
          <xdr:nvSpPr>
            <xdr:cNvPr id="133218" name="Group Box 98" hidden="1">
              <a:extLst>
                <a:ext uri="{63B3BB69-23CF-44E3-9099-C40C66FF867C}">
                  <a14:compatExt spid="_x0000_s133218"/>
                </a:ext>
                <a:ext uri="{FF2B5EF4-FFF2-40B4-BE49-F238E27FC236}">
                  <a16:creationId xmlns:a16="http://schemas.microsoft.com/office/drawing/2014/main" id="{00000000-0008-0000-0000-0000620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13</xdr:col>
      <xdr:colOff>121419</xdr:colOff>
      <xdr:row>19</xdr:row>
      <xdr:rowOff>0</xdr:rowOff>
    </xdr:from>
    <xdr:to>
      <xdr:col>13</xdr:col>
      <xdr:colOff>121419</xdr:colOff>
      <xdr:row>47</xdr:row>
      <xdr:rowOff>13939</xdr:rowOff>
    </xdr:to>
    <xdr:cxnSp macro="">
      <xdr:nvCxnSpPr>
        <xdr:cNvPr id="45" name="Gerader Verbinder 44">
          <a:extLst>
            <a:ext uri="{FF2B5EF4-FFF2-40B4-BE49-F238E27FC236}">
              <a16:creationId xmlns:a16="http://schemas.microsoft.com/office/drawing/2014/main" id="{00000000-0008-0000-0000-00002D000000}"/>
            </a:ext>
          </a:extLst>
        </xdr:cNvPr>
        <xdr:cNvCxnSpPr/>
      </xdr:nvCxnSpPr>
      <xdr:spPr>
        <a:xfrm>
          <a:off x="7327895" y="3196683"/>
          <a:ext cx="0" cy="549662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114715</xdr:colOff>
      <xdr:row>19</xdr:row>
      <xdr:rowOff>0</xdr:rowOff>
    </xdr:from>
    <xdr:to>
      <xdr:col>0</xdr:col>
      <xdr:colOff>114715</xdr:colOff>
      <xdr:row>43</xdr:row>
      <xdr:rowOff>109904</xdr:rowOff>
    </xdr:to>
    <xdr:cxnSp macro="">
      <xdr:nvCxnSpPr>
        <xdr:cNvPr id="53" name="Gerader Verbinder 52">
          <a:extLst>
            <a:ext uri="{FF2B5EF4-FFF2-40B4-BE49-F238E27FC236}">
              <a16:creationId xmlns:a16="http://schemas.microsoft.com/office/drawing/2014/main" id="{00000000-0008-0000-0000-000035000000}"/>
            </a:ext>
          </a:extLst>
        </xdr:cNvPr>
        <xdr:cNvCxnSpPr/>
      </xdr:nvCxnSpPr>
      <xdr:spPr>
        <a:xfrm>
          <a:off x="114715" y="3209925"/>
          <a:ext cx="0" cy="483430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102577</xdr:colOff>
      <xdr:row>19</xdr:row>
      <xdr:rowOff>6005</xdr:rowOff>
    </xdr:from>
    <xdr:to>
      <xdr:col>13</xdr:col>
      <xdr:colOff>124558</xdr:colOff>
      <xdr:row>19</xdr:row>
      <xdr:rowOff>6005</xdr:rowOff>
    </xdr:to>
    <xdr:cxnSp macro="">
      <xdr:nvCxnSpPr>
        <xdr:cNvPr id="55" name="Gerader Verbinder 54">
          <a:extLst>
            <a:ext uri="{FF2B5EF4-FFF2-40B4-BE49-F238E27FC236}">
              <a16:creationId xmlns:a16="http://schemas.microsoft.com/office/drawing/2014/main" id="{00000000-0008-0000-0000-000037000000}"/>
            </a:ext>
          </a:extLst>
        </xdr:cNvPr>
        <xdr:cNvCxnSpPr/>
      </xdr:nvCxnSpPr>
      <xdr:spPr>
        <a:xfrm flipH="1">
          <a:off x="102577" y="3200543"/>
          <a:ext cx="7173058"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8</xdr:col>
          <xdr:colOff>99060</xdr:colOff>
          <xdr:row>26</xdr:row>
          <xdr:rowOff>114300</xdr:rowOff>
        </xdr:from>
        <xdr:to>
          <xdr:col>13</xdr:col>
          <xdr:colOff>114300</xdr:colOff>
          <xdr:row>34</xdr:row>
          <xdr:rowOff>99060</xdr:rowOff>
        </xdr:to>
        <xdr:sp macro="" textlink="">
          <xdr:nvSpPr>
            <xdr:cNvPr id="133219" name="Group Box 99" hidden="1">
              <a:extLst>
                <a:ext uri="{63B3BB69-23CF-44E3-9099-C40C66FF867C}">
                  <a14:compatExt spid="_x0000_s133219"/>
                </a:ext>
                <a:ext uri="{FF2B5EF4-FFF2-40B4-BE49-F238E27FC236}">
                  <a16:creationId xmlns:a16="http://schemas.microsoft.com/office/drawing/2014/main" id="{00000000-0008-0000-0000-0000630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731520</xdr:colOff>
          <xdr:row>25</xdr:row>
          <xdr:rowOff>0</xdr:rowOff>
        </xdr:from>
        <xdr:to>
          <xdr:col>7</xdr:col>
          <xdr:colOff>411480</xdr:colOff>
          <xdr:row>26</xdr:row>
          <xdr:rowOff>22860</xdr:rowOff>
        </xdr:to>
        <xdr:sp macro="" textlink="">
          <xdr:nvSpPr>
            <xdr:cNvPr id="133220" name="Option Button 100" hidden="1">
              <a:extLst>
                <a:ext uri="{63B3BB69-23CF-44E3-9099-C40C66FF867C}">
                  <a14:compatExt spid="_x0000_s133220"/>
                </a:ext>
                <a:ext uri="{FF2B5EF4-FFF2-40B4-BE49-F238E27FC236}">
                  <a16:creationId xmlns:a16="http://schemas.microsoft.com/office/drawing/2014/main" id="{00000000-0008-0000-0000-000064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731520</xdr:colOff>
          <xdr:row>33</xdr:row>
          <xdr:rowOff>0</xdr:rowOff>
        </xdr:from>
        <xdr:to>
          <xdr:col>7</xdr:col>
          <xdr:colOff>411480</xdr:colOff>
          <xdr:row>34</xdr:row>
          <xdr:rowOff>22860</xdr:rowOff>
        </xdr:to>
        <xdr:sp macro="" textlink="">
          <xdr:nvSpPr>
            <xdr:cNvPr id="133221" name="Option Button 101" hidden="1">
              <a:extLst>
                <a:ext uri="{63B3BB69-23CF-44E3-9099-C40C66FF867C}">
                  <a14:compatExt spid="_x0000_s133221"/>
                </a:ext>
                <a:ext uri="{FF2B5EF4-FFF2-40B4-BE49-F238E27FC236}">
                  <a16:creationId xmlns:a16="http://schemas.microsoft.com/office/drawing/2014/main" id="{00000000-0008-0000-0000-000065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731520</xdr:colOff>
          <xdr:row>41</xdr:row>
          <xdr:rowOff>0</xdr:rowOff>
        </xdr:from>
        <xdr:to>
          <xdr:col>7</xdr:col>
          <xdr:colOff>411480</xdr:colOff>
          <xdr:row>42</xdr:row>
          <xdr:rowOff>22860</xdr:rowOff>
        </xdr:to>
        <xdr:sp macro="" textlink="">
          <xdr:nvSpPr>
            <xdr:cNvPr id="133222" name="Option Button 102" hidden="1">
              <a:extLst>
                <a:ext uri="{63B3BB69-23CF-44E3-9099-C40C66FF867C}">
                  <a14:compatExt spid="_x0000_s133222"/>
                </a:ext>
                <a:ext uri="{FF2B5EF4-FFF2-40B4-BE49-F238E27FC236}">
                  <a16:creationId xmlns:a16="http://schemas.microsoft.com/office/drawing/2014/main" id="{00000000-0008-0000-0000-000066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24</xdr:row>
          <xdr:rowOff>22860</xdr:rowOff>
        </xdr:from>
        <xdr:to>
          <xdr:col>9</xdr:col>
          <xdr:colOff>754380</xdr:colOff>
          <xdr:row>25</xdr:row>
          <xdr:rowOff>22860</xdr:rowOff>
        </xdr:to>
        <xdr:sp macro="" textlink="">
          <xdr:nvSpPr>
            <xdr:cNvPr id="133223" name="Option Button 103" hidden="1">
              <a:extLst>
                <a:ext uri="{63B3BB69-23CF-44E3-9099-C40C66FF867C}">
                  <a14:compatExt spid="_x0000_s133223"/>
                </a:ext>
                <a:ext uri="{FF2B5EF4-FFF2-40B4-BE49-F238E27FC236}">
                  <a16:creationId xmlns:a16="http://schemas.microsoft.com/office/drawing/2014/main" id="{00000000-0008-0000-0000-000067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220980</xdr:colOff>
          <xdr:row>24</xdr:row>
          <xdr:rowOff>22860</xdr:rowOff>
        </xdr:from>
        <xdr:to>
          <xdr:col>13</xdr:col>
          <xdr:colOff>30480</xdr:colOff>
          <xdr:row>25</xdr:row>
          <xdr:rowOff>30480</xdr:rowOff>
        </xdr:to>
        <xdr:sp macro="" textlink="">
          <xdr:nvSpPr>
            <xdr:cNvPr id="133224" name="Option Button 104" hidden="1">
              <a:extLst>
                <a:ext uri="{63B3BB69-23CF-44E3-9099-C40C66FF867C}">
                  <a14:compatExt spid="_x0000_s133224"/>
                </a:ext>
                <a:ext uri="{FF2B5EF4-FFF2-40B4-BE49-F238E27FC236}">
                  <a16:creationId xmlns:a16="http://schemas.microsoft.com/office/drawing/2014/main" id="{00000000-0008-0000-0000-000068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29</xdr:row>
          <xdr:rowOff>7620</xdr:rowOff>
        </xdr:from>
        <xdr:to>
          <xdr:col>9</xdr:col>
          <xdr:colOff>754380</xdr:colOff>
          <xdr:row>29</xdr:row>
          <xdr:rowOff>198120</xdr:rowOff>
        </xdr:to>
        <xdr:sp macro="" textlink="">
          <xdr:nvSpPr>
            <xdr:cNvPr id="133225" name="Option Button 105" hidden="1">
              <a:extLst>
                <a:ext uri="{63B3BB69-23CF-44E3-9099-C40C66FF867C}">
                  <a14:compatExt spid="_x0000_s133225"/>
                </a:ext>
                <a:ext uri="{FF2B5EF4-FFF2-40B4-BE49-F238E27FC236}">
                  <a16:creationId xmlns:a16="http://schemas.microsoft.com/office/drawing/2014/main" id="{00000000-0008-0000-0000-00006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289560</xdr:colOff>
          <xdr:row>29</xdr:row>
          <xdr:rowOff>7620</xdr:rowOff>
        </xdr:from>
        <xdr:to>
          <xdr:col>11</xdr:col>
          <xdr:colOff>403860</xdr:colOff>
          <xdr:row>29</xdr:row>
          <xdr:rowOff>198120</xdr:rowOff>
        </xdr:to>
        <xdr:sp macro="" textlink="">
          <xdr:nvSpPr>
            <xdr:cNvPr id="133226" name="Option Button 106" hidden="1">
              <a:extLst>
                <a:ext uri="{63B3BB69-23CF-44E3-9099-C40C66FF867C}">
                  <a14:compatExt spid="_x0000_s133226"/>
                </a:ext>
                <a:ext uri="{FF2B5EF4-FFF2-40B4-BE49-F238E27FC236}">
                  <a16:creationId xmlns:a16="http://schemas.microsoft.com/office/drawing/2014/main" id="{00000000-0008-0000-0000-00006A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518160</xdr:colOff>
          <xdr:row>25</xdr:row>
          <xdr:rowOff>22860</xdr:rowOff>
        </xdr:from>
        <xdr:to>
          <xdr:col>10</xdr:col>
          <xdr:colOff>518160</xdr:colOff>
          <xdr:row>26</xdr:row>
          <xdr:rowOff>22860</xdr:rowOff>
        </xdr:to>
        <xdr:sp macro="" textlink="">
          <xdr:nvSpPr>
            <xdr:cNvPr id="133227" name="Option Button 107" hidden="1">
              <a:extLst>
                <a:ext uri="{63B3BB69-23CF-44E3-9099-C40C66FF867C}">
                  <a14:compatExt spid="_x0000_s133227"/>
                </a:ext>
                <a:ext uri="{FF2B5EF4-FFF2-40B4-BE49-F238E27FC236}">
                  <a16:creationId xmlns:a16="http://schemas.microsoft.com/office/drawing/2014/main" id="{00000000-0008-0000-0000-00006B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0</xdr:colOff>
      <xdr:row>44</xdr:row>
      <xdr:rowOff>66675</xdr:rowOff>
    </xdr:from>
    <xdr:to>
      <xdr:col>9</xdr:col>
      <xdr:colOff>504000</xdr:colOff>
      <xdr:row>45</xdr:row>
      <xdr:rowOff>183880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4886325" y="8382000"/>
          <a:ext cx="504000" cy="307705"/>
        </a:xfrm>
        <a:prstGeom prst="rect">
          <a:avLst/>
        </a:prstGeom>
        <a:ln w="12700">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9</xdr:col>
          <xdr:colOff>563880</xdr:colOff>
          <xdr:row>45</xdr:row>
          <xdr:rowOff>38100</xdr:rowOff>
        </xdr:from>
        <xdr:to>
          <xdr:col>9</xdr:col>
          <xdr:colOff>754380</xdr:colOff>
          <xdr:row>45</xdr:row>
          <xdr:rowOff>175260</xdr:rowOff>
        </xdr:to>
        <xdr:sp macro="" textlink="">
          <xdr:nvSpPr>
            <xdr:cNvPr id="133228" name="Check Box 108" hidden="1">
              <a:extLst>
                <a:ext uri="{63B3BB69-23CF-44E3-9099-C40C66FF867C}">
                  <a14:compatExt spid="_x0000_s133228"/>
                </a:ext>
                <a:ext uri="{FF2B5EF4-FFF2-40B4-BE49-F238E27FC236}">
                  <a16:creationId xmlns:a16="http://schemas.microsoft.com/office/drawing/2014/main" id="{00000000-0008-0000-0000-00006C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464820</xdr:colOff>
      <xdr:row>62</xdr:row>
      <xdr:rowOff>167640</xdr:rowOff>
    </xdr:from>
    <xdr:to>
      <xdr:col>13</xdr:col>
      <xdr:colOff>170688</xdr:colOff>
      <xdr:row>64</xdr:row>
      <xdr:rowOff>70104</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71260" y="10942320"/>
          <a:ext cx="1313688" cy="268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42</xdr:row>
      <xdr:rowOff>47625</xdr:rowOff>
    </xdr:from>
    <xdr:to>
      <xdr:col>2</xdr:col>
      <xdr:colOff>2030851</xdr:colOff>
      <xdr:row>52</xdr:row>
      <xdr:rowOff>156881</xdr:rowOff>
    </xdr:to>
    <xdr:pic>
      <xdr:nvPicPr>
        <xdr:cNvPr id="66" name="Grafik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0" y="6734175"/>
          <a:ext cx="2030851" cy="1728506"/>
        </a:xfrm>
        <a:prstGeom prst="rect">
          <a:avLst/>
        </a:prstGeom>
      </xdr:spPr>
    </xdr:pic>
    <xdr:clientData/>
  </xdr:twoCellAnchor>
  <xdr:oneCellAnchor>
    <xdr:from>
      <xdr:col>9</xdr:col>
      <xdr:colOff>358905</xdr:colOff>
      <xdr:row>14</xdr:row>
      <xdr:rowOff>16983</xdr:rowOff>
    </xdr:from>
    <xdr:ext cx="212400" cy="129600"/>
    <xdr:pic>
      <xdr:nvPicPr>
        <xdr:cNvPr id="67" name="Grafik 66">
          <a:extLst>
            <a:ext uri="{FF2B5EF4-FFF2-40B4-BE49-F238E27FC236}">
              <a16:creationId xmlns:a16="http://schemas.microsoft.com/office/drawing/2014/main" id="{00000000-0008-0000-0100-00004300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1112" y="3232251"/>
          <a:ext cx="212400" cy="129600"/>
        </a:xfrm>
        <a:prstGeom prst="rect">
          <a:avLst/>
        </a:prstGeom>
      </xdr:spPr>
    </xdr:pic>
    <xdr:clientData/>
  </xdr:oneCellAnchor>
  <xdr:twoCellAnchor editAs="oneCell">
    <xdr:from>
      <xdr:col>9</xdr:col>
      <xdr:colOff>357768</xdr:colOff>
      <xdr:row>6</xdr:row>
      <xdr:rowOff>13938</xdr:rowOff>
    </xdr:from>
    <xdr:to>
      <xdr:col>10</xdr:col>
      <xdr:colOff>56271</xdr:colOff>
      <xdr:row>6</xdr:row>
      <xdr:rowOff>144051</xdr:rowOff>
    </xdr:to>
    <xdr:pic>
      <xdr:nvPicPr>
        <xdr:cNvPr id="68" name="Grafik 67">
          <a:extLst>
            <a:ext uri="{FF2B5EF4-FFF2-40B4-BE49-F238E27FC236}">
              <a16:creationId xmlns:a16="http://schemas.microsoft.com/office/drawing/2014/main" id="{00000000-0008-0000-0100-00004400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9975" y="1928231"/>
          <a:ext cx="214247" cy="130113"/>
        </a:xfrm>
        <a:prstGeom prst="rect">
          <a:avLst/>
        </a:prstGeom>
      </xdr:spPr>
    </xdr:pic>
    <xdr:clientData/>
  </xdr:twoCellAnchor>
  <xdr:twoCellAnchor editAs="oneCell">
    <xdr:from>
      <xdr:col>9</xdr:col>
      <xdr:colOff>357986</xdr:colOff>
      <xdr:row>7</xdr:row>
      <xdr:rowOff>18533</xdr:rowOff>
    </xdr:from>
    <xdr:to>
      <xdr:col>10</xdr:col>
      <xdr:colOff>56271</xdr:colOff>
      <xdr:row>7</xdr:row>
      <xdr:rowOff>148133</xdr:rowOff>
    </xdr:to>
    <xdr:pic>
      <xdr:nvPicPr>
        <xdr:cNvPr id="69" name="Grafik 68">
          <a:extLst>
            <a:ext uri="{FF2B5EF4-FFF2-40B4-BE49-F238E27FC236}">
              <a16:creationId xmlns:a16="http://schemas.microsoft.com/office/drawing/2014/main" id="{00000000-0008-0000-0100-00004500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40193" y="2095448"/>
          <a:ext cx="214029" cy="129600"/>
        </a:xfrm>
        <a:prstGeom prst="rect">
          <a:avLst/>
        </a:prstGeom>
      </xdr:spPr>
    </xdr:pic>
    <xdr:clientData/>
  </xdr:twoCellAnchor>
  <xdr:twoCellAnchor editAs="oneCell">
    <xdr:from>
      <xdr:col>9</xdr:col>
      <xdr:colOff>358244</xdr:colOff>
      <xdr:row>8</xdr:row>
      <xdr:rowOff>20834</xdr:rowOff>
    </xdr:from>
    <xdr:to>
      <xdr:col>10</xdr:col>
      <xdr:colOff>56271</xdr:colOff>
      <xdr:row>8</xdr:row>
      <xdr:rowOff>153924</xdr:rowOff>
    </xdr:to>
    <xdr:pic>
      <xdr:nvPicPr>
        <xdr:cNvPr id="70" name="Grafik 69">
          <a:extLst>
            <a:ext uri="{FF2B5EF4-FFF2-40B4-BE49-F238E27FC236}">
              <a16:creationId xmlns:a16="http://schemas.microsoft.com/office/drawing/2014/main" id="{00000000-0008-0000-0100-00004600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40451" y="2260371"/>
          <a:ext cx="213771" cy="133090"/>
        </a:xfrm>
        <a:prstGeom prst="rect">
          <a:avLst/>
        </a:prstGeom>
      </xdr:spPr>
    </xdr:pic>
    <xdr:clientData/>
  </xdr:twoCellAnchor>
  <xdr:twoCellAnchor editAs="oneCell">
    <xdr:from>
      <xdr:col>9</xdr:col>
      <xdr:colOff>358244</xdr:colOff>
      <xdr:row>9</xdr:row>
      <xdr:rowOff>19323</xdr:rowOff>
    </xdr:from>
    <xdr:to>
      <xdr:col>10</xdr:col>
      <xdr:colOff>56271</xdr:colOff>
      <xdr:row>9</xdr:row>
      <xdr:rowOff>152412</xdr:rowOff>
    </xdr:to>
    <xdr:pic>
      <xdr:nvPicPr>
        <xdr:cNvPr id="71" name="Grafik 70">
          <a:extLst>
            <a:ext uri="{FF2B5EF4-FFF2-40B4-BE49-F238E27FC236}">
              <a16:creationId xmlns:a16="http://schemas.microsoft.com/office/drawing/2014/main" id="{00000000-0008-0000-0100-00004700000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40451" y="2421482"/>
          <a:ext cx="213771" cy="133089"/>
        </a:xfrm>
        <a:prstGeom prst="rect">
          <a:avLst/>
        </a:prstGeom>
      </xdr:spPr>
    </xdr:pic>
    <xdr:clientData/>
  </xdr:twoCellAnchor>
  <xdr:twoCellAnchor editAs="oneCell">
    <xdr:from>
      <xdr:col>9</xdr:col>
      <xdr:colOff>358244</xdr:colOff>
      <xdr:row>10</xdr:row>
      <xdr:rowOff>17134</xdr:rowOff>
    </xdr:from>
    <xdr:to>
      <xdr:col>10</xdr:col>
      <xdr:colOff>56271</xdr:colOff>
      <xdr:row>10</xdr:row>
      <xdr:rowOff>150225</xdr:rowOff>
    </xdr:to>
    <xdr:pic>
      <xdr:nvPicPr>
        <xdr:cNvPr id="72" name="Grafik 71">
          <a:extLst>
            <a:ext uri="{FF2B5EF4-FFF2-40B4-BE49-F238E27FC236}">
              <a16:creationId xmlns:a16="http://schemas.microsoft.com/office/drawing/2014/main" id="{00000000-0008-0000-0100-000048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40451" y="2581914"/>
          <a:ext cx="213771" cy="133091"/>
        </a:xfrm>
        <a:prstGeom prst="rect">
          <a:avLst/>
        </a:prstGeom>
      </xdr:spPr>
    </xdr:pic>
    <xdr:clientData/>
  </xdr:twoCellAnchor>
  <xdr:twoCellAnchor editAs="oneCell">
    <xdr:from>
      <xdr:col>9</xdr:col>
      <xdr:colOff>358244</xdr:colOff>
      <xdr:row>11</xdr:row>
      <xdr:rowOff>17410</xdr:rowOff>
    </xdr:from>
    <xdr:to>
      <xdr:col>10</xdr:col>
      <xdr:colOff>56271</xdr:colOff>
      <xdr:row>11</xdr:row>
      <xdr:rowOff>150499</xdr:rowOff>
    </xdr:to>
    <xdr:pic>
      <xdr:nvPicPr>
        <xdr:cNvPr id="73" name="Grafik 72">
          <a:extLst>
            <a:ext uri="{FF2B5EF4-FFF2-40B4-BE49-F238E27FC236}">
              <a16:creationId xmlns:a16="http://schemas.microsoft.com/office/drawing/2014/main" id="{00000000-0008-0000-0100-000049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0451" y="2744812"/>
          <a:ext cx="213771" cy="133089"/>
        </a:xfrm>
        <a:prstGeom prst="rect">
          <a:avLst/>
        </a:prstGeom>
      </xdr:spPr>
    </xdr:pic>
    <xdr:clientData/>
  </xdr:twoCellAnchor>
  <xdr:twoCellAnchor editAs="oneCell">
    <xdr:from>
      <xdr:col>9</xdr:col>
      <xdr:colOff>358244</xdr:colOff>
      <xdr:row>12</xdr:row>
      <xdr:rowOff>19612</xdr:rowOff>
    </xdr:from>
    <xdr:to>
      <xdr:col>10</xdr:col>
      <xdr:colOff>56271</xdr:colOff>
      <xdr:row>12</xdr:row>
      <xdr:rowOff>152702</xdr:rowOff>
    </xdr:to>
    <xdr:pic>
      <xdr:nvPicPr>
        <xdr:cNvPr id="74" name="Grafik 73">
          <a:extLst>
            <a:ext uri="{FF2B5EF4-FFF2-40B4-BE49-F238E27FC236}">
              <a16:creationId xmlns:a16="http://schemas.microsoft.com/office/drawing/2014/main" id="{00000000-0008-0000-0100-00004A000000}"/>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0451" y="2909636"/>
          <a:ext cx="213771" cy="133090"/>
        </a:xfrm>
        <a:prstGeom prst="rect">
          <a:avLst/>
        </a:prstGeom>
      </xdr:spPr>
    </xdr:pic>
    <xdr:clientData/>
  </xdr:twoCellAnchor>
  <xdr:twoCellAnchor editAs="oneCell">
    <xdr:from>
      <xdr:col>9</xdr:col>
      <xdr:colOff>358905</xdr:colOff>
      <xdr:row>13</xdr:row>
      <xdr:rowOff>18030</xdr:rowOff>
    </xdr:from>
    <xdr:to>
      <xdr:col>10</xdr:col>
      <xdr:colOff>55610</xdr:colOff>
      <xdr:row>13</xdr:row>
      <xdr:rowOff>151120</xdr:rowOff>
    </xdr:to>
    <xdr:pic>
      <xdr:nvPicPr>
        <xdr:cNvPr id="75" name="Grafik 74">
          <a:extLst>
            <a:ext uri="{FF2B5EF4-FFF2-40B4-BE49-F238E27FC236}">
              <a16:creationId xmlns:a16="http://schemas.microsoft.com/office/drawing/2014/main" id="{00000000-0008-0000-0100-00004B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1112" y="3070676"/>
          <a:ext cx="212449" cy="133090"/>
        </a:xfrm>
        <a:prstGeom prst="rect">
          <a:avLst/>
        </a:prstGeom>
      </xdr:spPr>
    </xdr:pic>
    <xdr:clientData/>
  </xdr:twoCellAnchor>
  <xdr:oneCellAnchor>
    <xdr:from>
      <xdr:col>9</xdr:col>
      <xdr:colOff>358905</xdr:colOff>
      <xdr:row>15</xdr:row>
      <xdr:rowOff>17082</xdr:rowOff>
    </xdr:from>
    <xdr:ext cx="212400" cy="129600"/>
    <xdr:pic>
      <xdr:nvPicPr>
        <xdr:cNvPr id="76" name="Grafik 75">
          <a:extLst>
            <a:ext uri="{FF2B5EF4-FFF2-40B4-BE49-F238E27FC236}">
              <a16:creationId xmlns:a16="http://schemas.microsoft.com/office/drawing/2014/main" id="{00000000-0008-0000-0100-00004C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41112" y="3394972"/>
          <a:ext cx="212400" cy="129600"/>
        </a:xfrm>
        <a:prstGeom prst="rect">
          <a:avLst/>
        </a:prstGeom>
      </xdr:spPr>
    </xdr:pic>
    <xdr:clientData/>
  </xdr:oneCellAnchor>
  <xdr:oneCellAnchor>
    <xdr:from>
      <xdr:col>9</xdr:col>
      <xdr:colOff>358905</xdr:colOff>
      <xdr:row>16</xdr:row>
      <xdr:rowOff>19381</xdr:rowOff>
    </xdr:from>
    <xdr:ext cx="212400" cy="129600"/>
    <xdr:pic>
      <xdr:nvPicPr>
        <xdr:cNvPr id="77" name="Grafik 76">
          <a:extLst>
            <a:ext uri="{FF2B5EF4-FFF2-40B4-BE49-F238E27FC236}">
              <a16:creationId xmlns:a16="http://schemas.microsoft.com/office/drawing/2014/main" id="{00000000-0008-0000-0100-00004D000000}"/>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1112" y="3559893"/>
          <a:ext cx="212400" cy="129600"/>
        </a:xfrm>
        <a:prstGeom prst="rect">
          <a:avLst/>
        </a:prstGeom>
      </xdr:spPr>
    </xdr:pic>
    <xdr:clientData/>
  </xdr:oneCellAnchor>
  <xdr:oneCellAnchor>
    <xdr:from>
      <xdr:col>9</xdr:col>
      <xdr:colOff>358905</xdr:colOff>
      <xdr:row>17</xdr:row>
      <xdr:rowOff>17442</xdr:rowOff>
    </xdr:from>
    <xdr:ext cx="212400" cy="129600"/>
    <xdr:pic>
      <xdr:nvPicPr>
        <xdr:cNvPr id="78" name="Grafik 77">
          <a:extLst>
            <a:ext uri="{FF2B5EF4-FFF2-40B4-BE49-F238E27FC236}">
              <a16:creationId xmlns:a16="http://schemas.microsoft.com/office/drawing/2014/main" id="{00000000-0008-0000-0100-00004E000000}"/>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541112" y="3720576"/>
          <a:ext cx="212400" cy="129600"/>
        </a:xfrm>
        <a:prstGeom prst="rect">
          <a:avLst/>
        </a:prstGeom>
      </xdr:spPr>
    </xdr:pic>
    <xdr:clientData/>
  </xdr:oneCellAnchor>
  <xdr:oneCellAnchor>
    <xdr:from>
      <xdr:col>9</xdr:col>
      <xdr:colOff>358905</xdr:colOff>
      <xdr:row>18</xdr:row>
      <xdr:rowOff>16331</xdr:rowOff>
    </xdr:from>
    <xdr:ext cx="212400" cy="129600"/>
    <xdr:pic>
      <xdr:nvPicPr>
        <xdr:cNvPr id="79" name="Grafik 78">
          <a:extLst>
            <a:ext uri="{FF2B5EF4-FFF2-40B4-BE49-F238E27FC236}">
              <a16:creationId xmlns:a16="http://schemas.microsoft.com/office/drawing/2014/main" id="{00000000-0008-0000-0100-00004F000000}"/>
            </a:ext>
          </a:extLst>
        </xdr:cNvPr>
        <xdr:cNvPicPr preferRelativeResize="0">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41112" y="3882087"/>
          <a:ext cx="212400" cy="129600"/>
        </a:xfrm>
        <a:prstGeom prst="rect">
          <a:avLst/>
        </a:prstGeom>
      </xdr:spPr>
    </xdr:pic>
    <xdr:clientData/>
  </xdr:oneCellAnchor>
  <xdr:oneCellAnchor>
    <xdr:from>
      <xdr:col>9</xdr:col>
      <xdr:colOff>358905</xdr:colOff>
      <xdr:row>19</xdr:row>
      <xdr:rowOff>16744</xdr:rowOff>
    </xdr:from>
    <xdr:ext cx="212400" cy="129600"/>
    <xdr:pic>
      <xdr:nvPicPr>
        <xdr:cNvPr id="80" name="Grafik 79">
          <a:extLst>
            <a:ext uri="{FF2B5EF4-FFF2-40B4-BE49-F238E27FC236}">
              <a16:creationId xmlns:a16="http://schemas.microsoft.com/office/drawing/2014/main" id="{00000000-0008-0000-0100-000050000000}"/>
            </a:ext>
          </a:extLst>
        </xdr:cNvPr>
        <xdr:cNvPicPr preferRelativeResize="0">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41112" y="4045122"/>
          <a:ext cx="212400" cy="1296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762000</xdr:colOff>
          <xdr:row>5</xdr:row>
          <xdr:rowOff>0</xdr:rowOff>
        </xdr:from>
        <xdr:to>
          <xdr:col>12</xdr:col>
          <xdr:colOff>0</xdr:colOff>
          <xdr:row>20</xdr:row>
          <xdr:rowOff>0</xdr:rowOff>
        </xdr:to>
        <xdr:sp macro="" textlink="">
          <xdr:nvSpPr>
            <xdr:cNvPr id="1026" name="Group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6</xdr:row>
          <xdr:rowOff>0</xdr:rowOff>
        </xdr:from>
        <xdr:to>
          <xdr:col>12</xdr:col>
          <xdr:colOff>0</xdr:colOff>
          <xdr:row>7</xdr:row>
          <xdr:rowOff>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xdr:row>
          <xdr:rowOff>0</xdr:rowOff>
        </xdr:from>
        <xdr:to>
          <xdr:col>11</xdr:col>
          <xdr:colOff>762000</xdr:colOff>
          <xdr:row>8</xdr:row>
          <xdr:rowOff>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8</xdr:row>
          <xdr:rowOff>0</xdr:rowOff>
        </xdr:from>
        <xdr:to>
          <xdr:col>11</xdr:col>
          <xdr:colOff>762000</xdr:colOff>
          <xdr:row>9</xdr:row>
          <xdr:rowOff>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9</xdr:row>
          <xdr:rowOff>0</xdr:rowOff>
        </xdr:from>
        <xdr:to>
          <xdr:col>12</xdr:col>
          <xdr:colOff>0</xdr:colOff>
          <xdr:row>10</xdr:row>
          <xdr:rowOff>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10</xdr:row>
          <xdr:rowOff>0</xdr:rowOff>
        </xdr:from>
        <xdr:to>
          <xdr:col>12</xdr:col>
          <xdr:colOff>0</xdr:colOff>
          <xdr:row>11</xdr:row>
          <xdr:rowOff>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11</xdr:row>
          <xdr:rowOff>0</xdr:rowOff>
        </xdr:from>
        <xdr:to>
          <xdr:col>12</xdr:col>
          <xdr:colOff>0</xdr:colOff>
          <xdr:row>12</xdr:row>
          <xdr:rowOff>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12</xdr:row>
          <xdr:rowOff>0</xdr:rowOff>
        </xdr:from>
        <xdr:to>
          <xdr:col>12</xdr:col>
          <xdr:colOff>0</xdr:colOff>
          <xdr:row>13</xdr:row>
          <xdr:rowOff>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13</xdr:row>
          <xdr:rowOff>0</xdr:rowOff>
        </xdr:from>
        <xdr:to>
          <xdr:col>12</xdr:col>
          <xdr:colOff>0</xdr:colOff>
          <xdr:row>14</xdr:row>
          <xdr:rowOff>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14</xdr:row>
          <xdr:rowOff>0</xdr:rowOff>
        </xdr:from>
        <xdr:to>
          <xdr:col>12</xdr:col>
          <xdr:colOff>0</xdr:colOff>
          <xdr:row>15</xdr:row>
          <xdr:rowOff>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15</xdr:row>
          <xdr:rowOff>0</xdr:rowOff>
        </xdr:from>
        <xdr:to>
          <xdr:col>12</xdr:col>
          <xdr:colOff>0</xdr:colOff>
          <xdr:row>16</xdr:row>
          <xdr:rowOff>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16</xdr:row>
          <xdr:rowOff>0</xdr:rowOff>
        </xdr:from>
        <xdr:to>
          <xdr:col>12</xdr:col>
          <xdr:colOff>0</xdr:colOff>
          <xdr:row>17</xdr:row>
          <xdr:rowOff>0</xdr:rowOff>
        </xdr:to>
        <xdr:sp macro="" textlink="">
          <xdr:nvSpPr>
            <xdr:cNvPr id="1037" name="Option Button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17</xdr:row>
          <xdr:rowOff>0</xdr:rowOff>
        </xdr:from>
        <xdr:to>
          <xdr:col>12</xdr:col>
          <xdr:colOff>0</xdr:colOff>
          <xdr:row>18</xdr:row>
          <xdr:rowOff>0</xdr:rowOff>
        </xdr:to>
        <xdr:sp macro="" textlink="">
          <xdr:nvSpPr>
            <xdr:cNvPr id="1038" name="Option Butto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17</xdr:row>
          <xdr:rowOff>160020</xdr:rowOff>
        </xdr:from>
        <xdr:to>
          <xdr:col>12</xdr:col>
          <xdr:colOff>0</xdr:colOff>
          <xdr:row>19</xdr:row>
          <xdr:rowOff>0</xdr:rowOff>
        </xdr:to>
        <xdr:sp macro="" textlink="">
          <xdr:nvSpPr>
            <xdr:cNvPr id="1039" name="Option Butto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19</xdr:row>
          <xdr:rowOff>0</xdr:rowOff>
        </xdr:from>
        <xdr:to>
          <xdr:col>12</xdr:col>
          <xdr:colOff>0</xdr:colOff>
          <xdr:row>20</xdr:row>
          <xdr:rowOff>0</xdr:rowOff>
        </xdr:to>
        <xdr:sp macro="" textlink="">
          <xdr:nvSpPr>
            <xdr:cNvPr id="1040" name="Option Butto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754380</xdr:colOff>
          <xdr:row>40</xdr:row>
          <xdr:rowOff>0</xdr:rowOff>
        </xdr:from>
        <xdr:to>
          <xdr:col>10</xdr:col>
          <xdr:colOff>190500</xdr:colOff>
          <xdr:row>42</xdr:row>
          <xdr:rowOff>0</xdr:rowOff>
        </xdr:to>
        <xdr:sp macro="" textlink="">
          <xdr:nvSpPr>
            <xdr:cNvPr id="1041" name="Schaltfläche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OK</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253365</xdr:colOff>
      <xdr:row>5</xdr:row>
      <xdr:rowOff>11430</xdr:rowOff>
    </xdr:from>
    <xdr:ext cx="184731" cy="272577"/>
    <xdr:sp macro="" textlink="">
      <xdr:nvSpPr>
        <xdr:cNvPr id="4" name="Textfeld 3">
          <a:extLst>
            <a:ext uri="{FF2B5EF4-FFF2-40B4-BE49-F238E27FC236}">
              <a16:creationId xmlns:a16="http://schemas.microsoft.com/office/drawing/2014/main" id="{00000000-0008-0000-0200-000004000000}"/>
            </a:ext>
          </a:extLst>
        </xdr:cNvPr>
        <xdr:cNvSpPr txBox="1"/>
      </xdr:nvSpPr>
      <xdr:spPr>
        <a:xfrm>
          <a:off x="73304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twoCellAnchor editAs="oneCell">
    <xdr:from>
      <xdr:col>0</xdr:col>
      <xdr:colOff>9525</xdr:colOff>
      <xdr:row>11</xdr:row>
      <xdr:rowOff>190501</xdr:rowOff>
    </xdr:from>
    <xdr:to>
      <xdr:col>6</xdr:col>
      <xdr:colOff>9525</xdr:colOff>
      <xdr:row>24</xdr:row>
      <xdr:rowOff>106852</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971801"/>
          <a:ext cx="4981575" cy="2811951"/>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594360</xdr:colOff>
          <xdr:row>10</xdr:row>
          <xdr:rowOff>121920</xdr:rowOff>
        </xdr:from>
        <xdr:to>
          <xdr:col>26</xdr:col>
          <xdr:colOff>182880</xdr:colOff>
          <xdr:row>28</xdr:row>
          <xdr:rowOff>175260</xdr:rowOff>
        </xdr:to>
        <xdr:sp macro="" textlink="">
          <xdr:nvSpPr>
            <xdr:cNvPr id="135171" name="Object 3" hidden="1">
              <a:extLst>
                <a:ext uri="{63B3BB69-23CF-44E3-9099-C40C66FF867C}">
                  <a14:compatExt spid="_x0000_s135171"/>
                </a:ext>
                <a:ext uri="{FF2B5EF4-FFF2-40B4-BE49-F238E27FC236}">
                  <a16:creationId xmlns:a16="http://schemas.microsoft.com/office/drawing/2014/main" id="{00000000-0008-0000-0200-0000031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253365</xdr:colOff>
      <xdr:row>20</xdr:row>
      <xdr:rowOff>11430</xdr:rowOff>
    </xdr:from>
    <xdr:ext cx="184731" cy="272577"/>
    <xdr:sp macro="" textlink="">
      <xdr:nvSpPr>
        <xdr:cNvPr id="11" name="Textfeld 10">
          <a:extLst>
            <a:ext uri="{FF2B5EF4-FFF2-40B4-BE49-F238E27FC236}">
              <a16:creationId xmlns:a16="http://schemas.microsoft.com/office/drawing/2014/main" id="{00000000-0008-0000-0200-00000B000000}"/>
            </a:ext>
          </a:extLst>
        </xdr:cNvPr>
        <xdr:cNvSpPr txBox="1"/>
      </xdr:nvSpPr>
      <xdr:spPr>
        <a:xfrm>
          <a:off x="67589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oneCellAnchor>
    <xdr:from>
      <xdr:col>8</xdr:col>
      <xdr:colOff>253365</xdr:colOff>
      <xdr:row>35</xdr:row>
      <xdr:rowOff>11430</xdr:rowOff>
    </xdr:from>
    <xdr:ext cx="184731" cy="272577"/>
    <xdr:sp macro="" textlink="">
      <xdr:nvSpPr>
        <xdr:cNvPr id="12" name="Textfeld 11">
          <a:extLst>
            <a:ext uri="{FF2B5EF4-FFF2-40B4-BE49-F238E27FC236}">
              <a16:creationId xmlns:a16="http://schemas.microsoft.com/office/drawing/2014/main" id="{00000000-0008-0000-0200-00000C000000}"/>
            </a:ext>
          </a:extLst>
        </xdr:cNvPr>
        <xdr:cNvSpPr txBox="1"/>
      </xdr:nvSpPr>
      <xdr:spPr>
        <a:xfrm>
          <a:off x="67589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23</xdr:col>
      <xdr:colOff>190500</xdr:colOff>
      <xdr:row>32</xdr:row>
      <xdr:rowOff>1</xdr:rowOff>
    </xdr:from>
    <xdr:to>
      <xdr:col>28</xdr:col>
      <xdr:colOff>238125</xdr:colOff>
      <xdr:row>35</xdr:row>
      <xdr:rowOff>130270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53525" y="6229351"/>
          <a:ext cx="2219325" cy="6160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21</xdr:col>
          <xdr:colOff>0</xdr:colOff>
          <xdr:row>6</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21</xdr:col>
          <xdr:colOff>0</xdr:colOff>
          <xdr:row>9</xdr:row>
          <xdr:rowOff>0</xdr:rowOff>
        </xdr:to>
        <xdr:sp macro="" textlink="">
          <xdr:nvSpPr>
            <xdr:cNvPr id="2050" name="Group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4</xdr:row>
          <xdr:rowOff>0</xdr:rowOff>
        </xdr:from>
        <xdr:to>
          <xdr:col>33</xdr:col>
          <xdr:colOff>403860</xdr:colOff>
          <xdr:row>6</xdr:row>
          <xdr:rowOff>0</xdr:rowOff>
        </xdr:to>
        <xdr:sp macro="" textlink="">
          <xdr:nvSpPr>
            <xdr:cNvPr id="2051" name="Group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31</xdr:col>
          <xdr:colOff>0</xdr:colOff>
          <xdr:row>12</xdr:row>
          <xdr:rowOff>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31</xdr:col>
          <xdr:colOff>0</xdr:colOff>
          <xdr:row>15</xdr:row>
          <xdr:rowOff>0</xdr:rowOff>
        </xdr:to>
        <xdr:sp macro="" textlink="">
          <xdr:nvSpPr>
            <xdr:cNvPr id="2053" name="Group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21</xdr:col>
          <xdr:colOff>0</xdr:colOff>
          <xdr:row>17</xdr:row>
          <xdr:rowOff>0</xdr:rowOff>
        </xdr:to>
        <xdr:sp macro="" textlink="">
          <xdr:nvSpPr>
            <xdr:cNvPr id="2054" name="Group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6</xdr:col>
          <xdr:colOff>0</xdr:colOff>
          <xdr:row>18</xdr:row>
          <xdr:rowOff>0</xdr:rowOff>
        </xdr:to>
        <xdr:sp macro="" textlink="">
          <xdr:nvSpPr>
            <xdr:cNvPr id="2055" name="Group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312420</xdr:colOff>
          <xdr:row>15</xdr:row>
          <xdr:rowOff>0</xdr:rowOff>
        </xdr:from>
        <xdr:to>
          <xdr:col>10</xdr:col>
          <xdr:colOff>0</xdr:colOff>
          <xdr:row>18</xdr:row>
          <xdr:rowOff>0</xdr:rowOff>
        </xdr:to>
        <xdr:sp macro="" textlink="">
          <xdr:nvSpPr>
            <xdr:cNvPr id="2056" name="Group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0</xdr:rowOff>
        </xdr:from>
        <xdr:to>
          <xdr:col>17</xdr:col>
          <xdr:colOff>0</xdr:colOff>
          <xdr:row>21</xdr:row>
          <xdr:rowOff>0</xdr:rowOff>
        </xdr:to>
        <xdr:sp macro="" textlink="">
          <xdr:nvSpPr>
            <xdr:cNvPr id="2057" name="Group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76200</xdr:rowOff>
        </xdr:from>
        <xdr:to>
          <xdr:col>10</xdr:col>
          <xdr:colOff>0</xdr:colOff>
          <xdr:row>29</xdr:row>
          <xdr:rowOff>45720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Statische Berechnung + Mengenermittlung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15</xdr:row>
          <xdr:rowOff>0</xdr:rowOff>
        </xdr:from>
        <xdr:to>
          <xdr:col>6</xdr:col>
          <xdr:colOff>0</xdr:colOff>
          <xdr:row>16</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16</xdr:row>
          <xdr:rowOff>0</xdr:rowOff>
        </xdr:from>
        <xdr:to>
          <xdr:col>6</xdr:col>
          <xdr:colOff>0</xdr:colOff>
          <xdr:row>17</xdr:row>
          <xdr:rowOff>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17</xdr:row>
          <xdr:rowOff>0</xdr:rowOff>
        </xdr:from>
        <xdr:to>
          <xdr:col>6</xdr:col>
          <xdr:colOff>0</xdr:colOff>
          <xdr:row>18</xdr:row>
          <xdr:rowOff>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15</xdr:row>
          <xdr:rowOff>0</xdr:rowOff>
        </xdr:from>
        <xdr:to>
          <xdr:col>10</xdr:col>
          <xdr:colOff>0</xdr:colOff>
          <xdr:row>16</xdr:row>
          <xdr:rowOff>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16</xdr:row>
          <xdr:rowOff>0</xdr:rowOff>
        </xdr:from>
        <xdr:to>
          <xdr:col>10</xdr:col>
          <xdr:colOff>0</xdr:colOff>
          <xdr:row>17</xdr:row>
          <xdr:rowOff>0</xdr:rowOff>
        </xdr:to>
        <xdr:sp macro="" textlink="">
          <xdr:nvSpPr>
            <xdr:cNvPr id="2064" name="Option Button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17</xdr:row>
          <xdr:rowOff>0</xdr:rowOff>
        </xdr:from>
        <xdr:to>
          <xdr:col>10</xdr:col>
          <xdr:colOff>0</xdr:colOff>
          <xdr:row>18</xdr:row>
          <xdr:rowOff>0</xdr:rowOff>
        </xdr:to>
        <xdr:sp macro="" textlink="">
          <xdr:nvSpPr>
            <xdr:cNvPr id="2065" name="Option Button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16</xdr:row>
          <xdr:rowOff>0</xdr:rowOff>
        </xdr:from>
        <xdr:to>
          <xdr:col>14</xdr:col>
          <xdr:colOff>274320</xdr:colOff>
          <xdr:row>17</xdr:row>
          <xdr:rowOff>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144780</xdr:colOff>
          <xdr:row>15</xdr:row>
          <xdr:rowOff>0</xdr:rowOff>
        </xdr:from>
        <xdr:to>
          <xdr:col>17</xdr:col>
          <xdr:colOff>563880</xdr:colOff>
          <xdr:row>16</xdr:row>
          <xdr:rowOff>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144780</xdr:colOff>
          <xdr:row>16</xdr:row>
          <xdr:rowOff>0</xdr:rowOff>
        </xdr:from>
        <xdr:to>
          <xdr:col>17</xdr:col>
          <xdr:colOff>563880</xdr:colOff>
          <xdr:row>17</xdr:row>
          <xdr:rowOff>0</xdr:rowOff>
        </xdr:to>
        <xdr:sp macro="" textlink="">
          <xdr:nvSpPr>
            <xdr:cNvPr id="2070" name="Option Button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16</xdr:row>
          <xdr:rowOff>0</xdr:rowOff>
        </xdr:from>
        <xdr:to>
          <xdr:col>20</xdr:col>
          <xdr:colOff>228600</xdr:colOff>
          <xdr:row>17</xdr:row>
          <xdr:rowOff>0</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121920</xdr:colOff>
          <xdr:row>5</xdr:row>
          <xdr:rowOff>38100</xdr:rowOff>
        </xdr:from>
        <xdr:to>
          <xdr:col>33</xdr:col>
          <xdr:colOff>213360</xdr:colOff>
          <xdr:row>5</xdr:row>
          <xdr:rowOff>114300</xdr:rowOff>
        </xdr:to>
        <xdr:sp macro="" textlink="">
          <xdr:nvSpPr>
            <xdr:cNvPr id="2076" name="Option Button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121920</xdr:colOff>
          <xdr:row>4</xdr:row>
          <xdr:rowOff>30480</xdr:rowOff>
        </xdr:from>
        <xdr:to>
          <xdr:col>33</xdr:col>
          <xdr:colOff>213360</xdr:colOff>
          <xdr:row>4</xdr:row>
          <xdr:rowOff>99060</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19</xdr:row>
          <xdr:rowOff>30480</xdr:rowOff>
        </xdr:from>
        <xdr:to>
          <xdr:col>16</xdr:col>
          <xdr:colOff>106680</xdr:colOff>
          <xdr:row>19</xdr:row>
          <xdr:rowOff>152400</xdr:rowOff>
        </xdr:to>
        <xdr:sp macro="" textlink="">
          <xdr:nvSpPr>
            <xdr:cNvPr id="2078" name="Option Button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20</xdr:row>
          <xdr:rowOff>30480</xdr:rowOff>
        </xdr:from>
        <xdr:to>
          <xdr:col>16</xdr:col>
          <xdr:colOff>106680</xdr:colOff>
          <xdr:row>20</xdr:row>
          <xdr:rowOff>152400</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15564</xdr:colOff>
      <xdr:row>28</xdr:row>
      <xdr:rowOff>7620</xdr:rowOff>
    </xdr:from>
    <xdr:to>
      <xdr:col>41</xdr:col>
      <xdr:colOff>408330</xdr:colOff>
      <xdr:row>28</xdr:row>
      <xdr:rowOff>170104</xdr:rowOff>
    </xdr:to>
    <xdr:pic>
      <xdr:nvPicPr>
        <xdr:cNvPr id="28" name="Grafik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817914" y="5596890"/>
          <a:ext cx="392766" cy="162484"/>
        </a:xfrm>
        <a:prstGeom prst="rect">
          <a:avLst/>
        </a:prstGeom>
      </xdr:spPr>
    </xdr:pic>
    <xdr:clientData/>
  </xdr:twoCellAnchor>
  <xdr:twoCellAnchor>
    <xdr:from>
      <xdr:col>41</xdr:col>
      <xdr:colOff>23968</xdr:colOff>
      <xdr:row>29</xdr:row>
      <xdr:rowOff>6636</xdr:rowOff>
    </xdr:from>
    <xdr:to>
      <xdr:col>41</xdr:col>
      <xdr:colOff>408889</xdr:colOff>
      <xdr:row>30</xdr:row>
      <xdr:rowOff>12238</xdr:rowOff>
    </xdr:to>
    <xdr:pic>
      <xdr:nvPicPr>
        <xdr:cNvPr id="29" name="Grafik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754600" y="5752452"/>
          <a:ext cx="384921" cy="162484"/>
        </a:xfrm>
        <a:prstGeom prst="rect">
          <a:avLst/>
        </a:prstGeom>
      </xdr:spPr>
    </xdr:pic>
    <xdr:clientData/>
  </xdr:twoCellAnchor>
  <xdr:twoCellAnchor>
    <xdr:from>
      <xdr:col>41</xdr:col>
      <xdr:colOff>26769</xdr:colOff>
      <xdr:row>30</xdr:row>
      <xdr:rowOff>6354</xdr:rowOff>
    </xdr:from>
    <xdr:to>
      <xdr:col>41</xdr:col>
      <xdr:colOff>408330</xdr:colOff>
      <xdr:row>31</xdr:row>
      <xdr:rowOff>11956</xdr:rowOff>
    </xdr:to>
    <xdr:pic>
      <xdr:nvPicPr>
        <xdr:cNvPr id="30" name="Grafik 29">
          <a:extLst>
            <a:ext uri="{FF2B5EF4-FFF2-40B4-BE49-F238E27FC236}">
              <a16:creationId xmlns:a16="http://schemas.microsoft.com/office/drawing/2014/main" id="{00000000-0008-0000-0300-00001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8811072" y="5911854"/>
          <a:ext cx="381561" cy="162484"/>
        </a:xfrm>
        <a:prstGeom prst="rect">
          <a:avLst/>
        </a:prstGeom>
      </xdr:spPr>
    </xdr:pic>
    <xdr:clientData/>
  </xdr:twoCellAnchor>
  <xdr:twoCellAnchor>
    <xdr:from>
      <xdr:col>40</xdr:col>
      <xdr:colOff>22861</xdr:colOff>
      <xdr:row>28</xdr:row>
      <xdr:rowOff>7621</xdr:rowOff>
    </xdr:from>
    <xdr:to>
      <xdr:col>40</xdr:col>
      <xdr:colOff>409463</xdr:colOff>
      <xdr:row>28</xdr:row>
      <xdr:rowOff>170105</xdr:rowOff>
    </xdr:to>
    <xdr:pic>
      <xdr:nvPicPr>
        <xdr:cNvPr id="31" name="Grafik 30">
          <a:extLst>
            <a:ext uri="{FF2B5EF4-FFF2-40B4-BE49-F238E27FC236}">
              <a16:creationId xmlns:a16="http://schemas.microsoft.com/office/drawing/2014/main" id="{00000000-0008-0000-0300-00001F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8352274" y="5590099"/>
          <a:ext cx="386602" cy="162484"/>
        </a:xfrm>
        <a:prstGeom prst="rect">
          <a:avLst/>
        </a:prstGeom>
      </xdr:spPr>
    </xdr:pic>
    <xdr:clientData/>
  </xdr:twoCellAnchor>
  <xdr:twoCellAnchor>
    <xdr:from>
      <xdr:col>40</xdr:col>
      <xdr:colOff>22860</xdr:colOff>
      <xdr:row>29</xdr:row>
      <xdr:rowOff>6636</xdr:rowOff>
    </xdr:from>
    <xdr:to>
      <xdr:col>40</xdr:col>
      <xdr:colOff>409463</xdr:colOff>
      <xdr:row>30</xdr:row>
      <xdr:rowOff>12238</xdr:rowOff>
    </xdr:to>
    <xdr:pic>
      <xdr:nvPicPr>
        <xdr:cNvPr id="32" name="Grafik 31">
          <a:extLst>
            <a:ext uri="{FF2B5EF4-FFF2-40B4-BE49-F238E27FC236}">
              <a16:creationId xmlns:a16="http://schemas.microsoft.com/office/drawing/2014/main" id="{00000000-0008-0000-0300-00002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8333272" y="5752452"/>
          <a:ext cx="386603" cy="162484"/>
        </a:xfrm>
        <a:prstGeom prst="rect">
          <a:avLst/>
        </a:prstGeom>
      </xdr:spPr>
    </xdr:pic>
    <xdr:clientData/>
  </xdr:twoCellAnchor>
  <xdr:twoCellAnchor>
    <xdr:from>
      <xdr:col>40</xdr:col>
      <xdr:colOff>22860</xdr:colOff>
      <xdr:row>30</xdr:row>
      <xdr:rowOff>6354</xdr:rowOff>
    </xdr:from>
    <xdr:to>
      <xdr:col>40</xdr:col>
      <xdr:colOff>401059</xdr:colOff>
      <xdr:row>31</xdr:row>
      <xdr:rowOff>11956</xdr:rowOff>
    </xdr:to>
    <xdr:pic>
      <xdr:nvPicPr>
        <xdr:cNvPr id="33" name="Grafik 32">
          <a:extLst>
            <a:ext uri="{FF2B5EF4-FFF2-40B4-BE49-F238E27FC236}">
              <a16:creationId xmlns:a16="http://schemas.microsoft.com/office/drawing/2014/main" id="{00000000-0008-0000-0300-000021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8386057" y="5911854"/>
          <a:ext cx="378199" cy="162484"/>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2</xdr:col>
          <xdr:colOff>107162</xdr:colOff>
          <xdr:row>12</xdr:row>
          <xdr:rowOff>30079</xdr:rowOff>
        </xdr:from>
        <xdr:to>
          <xdr:col>5</xdr:col>
          <xdr:colOff>212634</xdr:colOff>
          <xdr:row>14</xdr:row>
          <xdr:rowOff>170447</xdr:rowOff>
        </xdr:to>
        <xdr:pic>
          <xdr:nvPicPr>
            <xdr:cNvPr id="42" name="Grafik 41">
              <a:extLst>
                <a:ext uri="{FF2B5EF4-FFF2-40B4-BE49-F238E27FC236}">
                  <a16:creationId xmlns:a16="http://schemas.microsoft.com/office/drawing/2014/main" id="{00000000-0008-0000-0300-00002A000000}"/>
                </a:ext>
              </a:extLst>
            </xdr:cNvPr>
            <xdr:cNvPicPr preferRelativeResize="0">
              <a:picLocks noChangeArrowheads="1"/>
              <a:extLst>
                <a:ext uri="{84589F7E-364E-4C9E-8A38-B11213B215E9}">
                  <a14:cameraTool cellRange="MontageartLinks" spid="_x0000_s172871"/>
                </a:ext>
              </a:extLst>
            </xdr:cNvPicPr>
          </xdr:nvPicPr>
          <xdr:blipFill>
            <a:blip xmlns:r="http://schemas.openxmlformats.org/officeDocument/2006/relationships" r:embed="rId8"/>
            <a:srcRect/>
            <a:stretch>
              <a:fillRect/>
            </a:stretch>
          </xdr:blipFill>
          <xdr:spPr bwMode="auto">
            <a:xfrm>
              <a:off x="669137" y="2601829"/>
              <a:ext cx="1315147" cy="52136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129417</xdr:colOff>
          <xdr:row>12</xdr:row>
          <xdr:rowOff>30079</xdr:rowOff>
        </xdr:from>
        <xdr:to>
          <xdr:col>9</xdr:col>
          <xdr:colOff>152434</xdr:colOff>
          <xdr:row>14</xdr:row>
          <xdr:rowOff>170447</xdr:rowOff>
        </xdr:to>
        <xdr:pic>
          <xdr:nvPicPr>
            <xdr:cNvPr id="35" name="Grafik 34">
              <a:extLst>
                <a:ext uri="{FF2B5EF4-FFF2-40B4-BE49-F238E27FC236}">
                  <a16:creationId xmlns:a16="http://schemas.microsoft.com/office/drawing/2014/main" id="{00000000-0008-0000-0300-000023000000}"/>
                </a:ext>
              </a:extLst>
            </xdr:cNvPr>
            <xdr:cNvPicPr preferRelativeResize="0">
              <a:picLocks noChangeArrowheads="1"/>
              <a:extLst>
                <a:ext uri="{84589F7E-364E-4C9E-8A38-B11213B215E9}">
                  <a14:cameraTool cellRange="MontageartRechts" spid="_x0000_s172872"/>
                </a:ext>
              </a:extLst>
            </xdr:cNvPicPr>
          </xdr:nvPicPr>
          <xdr:blipFill>
            <a:blip xmlns:r="http://schemas.openxmlformats.org/officeDocument/2006/relationships" r:embed="rId9"/>
            <a:srcRect/>
            <a:stretch>
              <a:fillRect/>
            </a:stretch>
          </xdr:blipFill>
          <xdr:spPr bwMode="auto">
            <a:xfrm>
              <a:off x="2215392" y="2601829"/>
              <a:ext cx="1299367" cy="521368"/>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43</xdr:col>
      <xdr:colOff>48399</xdr:colOff>
      <xdr:row>28</xdr:row>
      <xdr:rowOff>28051</xdr:rowOff>
    </xdr:from>
    <xdr:ext cx="136208" cy="102502"/>
    <xdr:pic>
      <xdr:nvPicPr>
        <xdr:cNvPr id="36" name="Grafik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527024" y="5609701"/>
          <a:ext cx="136208" cy="102502"/>
        </a:xfrm>
        <a:prstGeom prst="rect">
          <a:avLst/>
        </a:prstGeom>
      </xdr:spPr>
    </xdr:pic>
    <xdr:clientData/>
  </xdr:oneCellAnchor>
  <xdr:oneCellAnchor>
    <xdr:from>
      <xdr:col>43</xdr:col>
      <xdr:colOff>26355</xdr:colOff>
      <xdr:row>29</xdr:row>
      <xdr:rowOff>6604</xdr:rowOff>
    </xdr:from>
    <xdr:ext cx="175138" cy="150559"/>
    <xdr:pic>
      <xdr:nvPicPr>
        <xdr:cNvPr id="37" name="Grafik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504980" y="5750179"/>
          <a:ext cx="175138" cy="150559"/>
        </a:xfrm>
        <a:prstGeom prst="rect">
          <a:avLst/>
        </a:prstGeom>
      </xdr:spPr>
    </xdr:pic>
    <xdr:clientData/>
  </xdr:oneCellAnchor>
  <xdr:oneCellAnchor>
    <xdr:from>
      <xdr:col>44</xdr:col>
      <xdr:colOff>21432</xdr:colOff>
      <xdr:row>29</xdr:row>
      <xdr:rowOff>11726</xdr:rowOff>
    </xdr:from>
    <xdr:ext cx="700439" cy="142141"/>
    <xdr:pic>
      <xdr:nvPicPr>
        <xdr:cNvPr id="38" name="Grafik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728657" y="5755301"/>
          <a:ext cx="700439" cy="142141"/>
        </a:xfrm>
        <a:prstGeom prst="rect">
          <a:avLst/>
        </a:prstGeom>
      </xdr:spPr>
    </xdr:pic>
    <xdr:clientData/>
  </xdr:oneCellAnchor>
  <xdr:oneCellAnchor>
    <xdr:from>
      <xdr:col>44</xdr:col>
      <xdr:colOff>21432</xdr:colOff>
      <xdr:row>28</xdr:row>
      <xdr:rowOff>9827</xdr:rowOff>
    </xdr:from>
    <xdr:ext cx="564133" cy="144348"/>
    <xdr:pic>
      <xdr:nvPicPr>
        <xdr:cNvPr id="39" name="Grafik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728657" y="5591477"/>
          <a:ext cx="564133" cy="144348"/>
        </a:xfrm>
        <a:prstGeom prst="rect">
          <a:avLst/>
        </a:prstGeom>
      </xdr:spPr>
    </xdr:pic>
    <xdr:clientData/>
  </xdr:oneCellAnchor>
  <xdr:oneCellAnchor>
    <xdr:from>
      <xdr:col>44</xdr:col>
      <xdr:colOff>21432</xdr:colOff>
      <xdr:row>30</xdr:row>
      <xdr:rowOff>12105</xdr:rowOff>
    </xdr:from>
    <xdr:ext cx="944645" cy="143174"/>
    <xdr:pic>
      <xdr:nvPicPr>
        <xdr:cNvPr id="40" name="Grafik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728657" y="5917605"/>
          <a:ext cx="944645" cy="143174"/>
        </a:xfrm>
        <a:prstGeom prst="rect">
          <a:avLst/>
        </a:prstGeom>
      </xdr:spPr>
    </xdr:pic>
    <xdr:clientData/>
  </xdr:oneCellAnchor>
  <xdr:oneCellAnchor>
    <xdr:from>
      <xdr:col>44</xdr:col>
      <xdr:colOff>21432</xdr:colOff>
      <xdr:row>31</xdr:row>
      <xdr:rowOff>12494</xdr:rowOff>
    </xdr:from>
    <xdr:ext cx="1175585" cy="142184"/>
    <xdr:pic>
      <xdr:nvPicPr>
        <xdr:cNvPr id="41" name="Grafik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728657" y="6079919"/>
          <a:ext cx="1175585" cy="142184"/>
        </a:xfrm>
        <a:prstGeom prst="rect">
          <a:avLst/>
        </a:prstGeom>
      </xdr:spPr>
    </xdr:pic>
    <xdr:clientData/>
  </xdr:oneCellAnchor>
  <xdr:oneCellAnchor>
    <xdr:from>
      <xdr:col>44</xdr:col>
      <xdr:colOff>21433</xdr:colOff>
      <xdr:row>32</xdr:row>
      <xdr:rowOff>10624</xdr:rowOff>
    </xdr:from>
    <xdr:ext cx="1419224" cy="142806"/>
    <xdr:pic>
      <xdr:nvPicPr>
        <xdr:cNvPr id="43" name="Grafik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728658" y="6239974"/>
          <a:ext cx="1419224" cy="142806"/>
        </a:xfrm>
        <a:prstGeom prst="rect">
          <a:avLst/>
        </a:prstGeom>
      </xdr:spPr>
    </xdr:pic>
    <xdr:clientData/>
  </xdr:oneCellAnchor>
  <xdr:oneCellAnchor>
    <xdr:from>
      <xdr:col>44</xdr:col>
      <xdr:colOff>21433</xdr:colOff>
      <xdr:row>33</xdr:row>
      <xdr:rowOff>9275</xdr:rowOff>
    </xdr:from>
    <xdr:ext cx="1657348" cy="144245"/>
    <xdr:pic>
      <xdr:nvPicPr>
        <xdr:cNvPr id="44" name="Grafik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728658" y="6400550"/>
          <a:ext cx="1657348" cy="144245"/>
        </a:xfrm>
        <a:prstGeom prst="rect">
          <a:avLst/>
        </a:prstGeom>
      </xdr:spPr>
    </xdr:pic>
    <xdr:clientData/>
  </xdr:oneCellAnchor>
  <xdr:oneCellAnchor>
    <xdr:from>
      <xdr:col>44</xdr:col>
      <xdr:colOff>21433</xdr:colOff>
      <xdr:row>34</xdr:row>
      <xdr:rowOff>9303</xdr:rowOff>
    </xdr:from>
    <xdr:ext cx="1893092" cy="142681"/>
    <xdr:pic>
      <xdr:nvPicPr>
        <xdr:cNvPr id="45" name="Grafik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728658" y="6562503"/>
          <a:ext cx="1893092" cy="142681"/>
        </a:xfrm>
        <a:prstGeom prst="rect">
          <a:avLst/>
        </a:prstGeom>
      </xdr:spPr>
    </xdr:pic>
    <xdr:clientData/>
  </xdr:oneCellAnchor>
  <xdr:oneCellAnchor>
    <xdr:from>
      <xdr:col>44</xdr:col>
      <xdr:colOff>21433</xdr:colOff>
      <xdr:row>35</xdr:row>
      <xdr:rowOff>9498</xdr:rowOff>
    </xdr:from>
    <xdr:ext cx="2133598" cy="142829"/>
    <xdr:pic>
      <xdr:nvPicPr>
        <xdr:cNvPr id="46" name="Grafik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728658" y="6724623"/>
          <a:ext cx="2133598" cy="1428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17</xdr:col>
          <xdr:colOff>612420</xdr:colOff>
          <xdr:row>19</xdr:row>
          <xdr:rowOff>29353</xdr:rowOff>
        </xdr:from>
        <xdr:to>
          <xdr:col>19</xdr:col>
          <xdr:colOff>667017</xdr:colOff>
          <xdr:row>22</xdr:row>
          <xdr:rowOff>183173</xdr:rowOff>
        </xdr:to>
        <xdr:pic>
          <xdr:nvPicPr>
            <xdr:cNvPr id="47" name="Grafik 46">
              <a:extLst>
                <a:ext uri="{FF2B5EF4-FFF2-40B4-BE49-F238E27FC236}">
                  <a16:creationId xmlns:a16="http://schemas.microsoft.com/office/drawing/2014/main" id="{00000000-0008-0000-0300-00002F000000}"/>
                </a:ext>
              </a:extLst>
            </xdr:cNvPr>
            <xdr:cNvPicPr preferRelativeResize="0">
              <a:picLocks noChangeArrowheads="1"/>
              <a:extLst>
                <a:ext uri="{84589F7E-364E-4C9E-8A38-B11213B215E9}">
                  <a14:cameraTool cellRange="Rundsteher" spid="_x0000_s172873"/>
                </a:ext>
              </a:extLst>
            </xdr:cNvPicPr>
          </xdr:nvPicPr>
          <xdr:blipFill>
            <a:blip xmlns:r="http://schemas.openxmlformats.org/officeDocument/2006/relationships" r:embed="rId20"/>
            <a:srcRect/>
            <a:stretch>
              <a:fillRect/>
            </a:stretch>
          </xdr:blipFill>
          <xdr:spPr bwMode="auto">
            <a:xfrm>
              <a:off x="6891593" y="3963911"/>
              <a:ext cx="1014424" cy="7253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33378</xdr:colOff>
          <xdr:row>32</xdr:row>
          <xdr:rowOff>159846</xdr:rowOff>
        </xdr:from>
        <xdr:to>
          <xdr:col>20</xdr:col>
          <xdr:colOff>35901</xdr:colOff>
          <xdr:row>36</xdr:row>
          <xdr:rowOff>41936</xdr:rowOff>
        </xdr:to>
        <xdr:pic>
          <xdr:nvPicPr>
            <xdr:cNvPr id="49" name="Grafik 48">
              <a:extLst>
                <a:ext uri="{FF2B5EF4-FFF2-40B4-BE49-F238E27FC236}">
                  <a16:creationId xmlns:a16="http://schemas.microsoft.com/office/drawing/2014/main" id="{00000000-0008-0000-0300-000031000000}"/>
                </a:ext>
              </a:extLst>
            </xdr:cNvPr>
            <xdr:cNvPicPr preferRelativeResize="0">
              <a:picLocks noChangeArrowheads="1"/>
              <a:extLst>
                <a:ext uri="{84589F7E-364E-4C9E-8A38-B11213B215E9}">
                  <a14:cameraTool cellRange="AnzahlFelder" spid="_x0000_s172874"/>
                </a:ext>
              </a:extLst>
            </xdr:cNvPicPr>
          </xdr:nvPicPr>
          <xdr:blipFill>
            <a:blip xmlns:r="http://schemas.openxmlformats.org/officeDocument/2006/relationships" r:embed="rId21"/>
            <a:srcRect/>
            <a:stretch>
              <a:fillRect/>
            </a:stretch>
          </xdr:blipFill>
          <xdr:spPr bwMode="auto">
            <a:xfrm>
              <a:off x="595353" y="6389196"/>
              <a:ext cx="7460598" cy="52979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561243</xdr:colOff>
          <xdr:row>32</xdr:row>
          <xdr:rowOff>16852</xdr:rowOff>
        </xdr:from>
        <xdr:to>
          <xdr:col>17</xdr:col>
          <xdr:colOff>418368</xdr:colOff>
          <xdr:row>33</xdr:row>
          <xdr:rowOff>45427</xdr:rowOff>
        </xdr:to>
        <xdr:pic>
          <xdr:nvPicPr>
            <xdr:cNvPr id="61" name="Grafik 60">
              <a:extLst>
                <a:ext uri="{FF2B5EF4-FFF2-40B4-BE49-F238E27FC236}">
                  <a16:creationId xmlns:a16="http://schemas.microsoft.com/office/drawing/2014/main" id="{00000000-0008-0000-0300-00003D000000}"/>
                </a:ext>
              </a:extLst>
            </xdr:cNvPr>
            <xdr:cNvPicPr>
              <a:picLocks noChangeAspect="1" noChangeArrowheads="1"/>
              <a:extLst>
                <a:ext uri="{84589F7E-364E-4C9E-8A38-B11213B215E9}">
                  <a14:cameraTool cellRange="FeldNummern" spid="_x0000_s172875"/>
                </a:ext>
              </a:extLst>
            </xdr:cNvPicPr>
          </xdr:nvPicPr>
          <xdr:blipFill>
            <a:blip xmlns:r="http://schemas.openxmlformats.org/officeDocument/2006/relationships" r:embed="rId22"/>
            <a:srcRect/>
            <a:stretch>
              <a:fillRect/>
            </a:stretch>
          </xdr:blipFill>
          <xdr:spPr bwMode="auto">
            <a:xfrm>
              <a:off x="1123218" y="6312877"/>
              <a:ext cx="55721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304801</xdr:colOff>
          <xdr:row>36</xdr:row>
          <xdr:rowOff>14654</xdr:rowOff>
        </xdr:from>
        <xdr:to>
          <xdr:col>17</xdr:col>
          <xdr:colOff>409576</xdr:colOff>
          <xdr:row>37</xdr:row>
          <xdr:rowOff>43229</xdr:rowOff>
        </xdr:to>
        <xdr:pic>
          <xdr:nvPicPr>
            <xdr:cNvPr id="62" name="Grafik 61">
              <a:extLst>
                <a:ext uri="{FF2B5EF4-FFF2-40B4-BE49-F238E27FC236}">
                  <a16:creationId xmlns:a16="http://schemas.microsoft.com/office/drawing/2014/main" id="{00000000-0008-0000-0300-00003E000000}"/>
                </a:ext>
              </a:extLst>
            </xdr:cNvPr>
            <xdr:cNvPicPr>
              <a:picLocks noChangeAspect="1" noChangeArrowheads="1"/>
              <a:extLst>
                <a:ext uri="{84589F7E-364E-4C9E-8A38-B11213B215E9}">
                  <a14:cameraTool cellRange="SteherNummern" spid="_x0000_s172876"/>
                </a:ext>
              </a:extLst>
            </xdr:cNvPicPr>
          </xdr:nvPicPr>
          <xdr:blipFill>
            <a:blip xmlns:r="http://schemas.openxmlformats.org/officeDocument/2006/relationships" r:embed="rId23"/>
            <a:srcRect/>
            <a:stretch>
              <a:fillRect/>
            </a:stretch>
          </xdr:blipFill>
          <xdr:spPr bwMode="auto">
            <a:xfrm>
              <a:off x="1447801" y="6958379"/>
              <a:ext cx="523875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121920</xdr:colOff>
          <xdr:row>4</xdr:row>
          <xdr:rowOff>30480</xdr:rowOff>
        </xdr:from>
        <xdr:to>
          <xdr:col>18</xdr:col>
          <xdr:colOff>68580</xdr:colOff>
          <xdr:row>4</xdr:row>
          <xdr:rowOff>160020</xdr:rowOff>
        </xdr:to>
        <xdr:sp macro="" textlink="">
          <xdr:nvSpPr>
            <xdr:cNvPr id="2230" name="Option Button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121920</xdr:colOff>
          <xdr:row>5</xdr:row>
          <xdr:rowOff>30480</xdr:rowOff>
        </xdr:from>
        <xdr:to>
          <xdr:col>18</xdr:col>
          <xdr:colOff>68580</xdr:colOff>
          <xdr:row>5</xdr:row>
          <xdr:rowOff>160020</xdr:rowOff>
        </xdr:to>
        <xdr:sp macro="" textlink="">
          <xdr:nvSpPr>
            <xdr:cNvPr id="2231" name="Option Button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198120</xdr:colOff>
          <xdr:row>7</xdr:row>
          <xdr:rowOff>22860</xdr:rowOff>
        </xdr:from>
        <xdr:to>
          <xdr:col>17</xdr:col>
          <xdr:colOff>160020</xdr:colOff>
          <xdr:row>7</xdr:row>
          <xdr:rowOff>160020</xdr:rowOff>
        </xdr:to>
        <xdr:sp macro="" textlink="">
          <xdr:nvSpPr>
            <xdr:cNvPr id="2232" name="Option Button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480060</xdr:colOff>
          <xdr:row>7</xdr:row>
          <xdr:rowOff>22860</xdr:rowOff>
        </xdr:from>
        <xdr:to>
          <xdr:col>19</xdr:col>
          <xdr:colOff>175260</xdr:colOff>
          <xdr:row>7</xdr:row>
          <xdr:rowOff>160020</xdr:rowOff>
        </xdr:to>
        <xdr:sp macro="" textlink="">
          <xdr:nvSpPr>
            <xdr:cNvPr id="2233" name="Option Button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xdr:colOff>
          <xdr:row>10</xdr:row>
          <xdr:rowOff>30480</xdr:rowOff>
        </xdr:from>
        <xdr:to>
          <xdr:col>30</xdr:col>
          <xdr:colOff>342900</xdr:colOff>
          <xdr:row>10</xdr:row>
          <xdr:rowOff>182880</xdr:rowOff>
        </xdr:to>
        <xdr:sp macro="" textlink="">
          <xdr:nvSpPr>
            <xdr:cNvPr id="2252" name="Option Button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xdr:colOff>
          <xdr:row>11</xdr:row>
          <xdr:rowOff>30480</xdr:rowOff>
        </xdr:from>
        <xdr:to>
          <xdr:col>30</xdr:col>
          <xdr:colOff>342900</xdr:colOff>
          <xdr:row>11</xdr:row>
          <xdr:rowOff>182880</xdr:rowOff>
        </xdr:to>
        <xdr:sp macro="" textlink="">
          <xdr:nvSpPr>
            <xdr:cNvPr id="2253" name="Option Button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xdr:colOff>
          <xdr:row>12</xdr:row>
          <xdr:rowOff>30480</xdr:rowOff>
        </xdr:from>
        <xdr:to>
          <xdr:col>30</xdr:col>
          <xdr:colOff>342900</xdr:colOff>
          <xdr:row>12</xdr:row>
          <xdr:rowOff>182880</xdr:rowOff>
        </xdr:to>
        <xdr:sp macro="" textlink="">
          <xdr:nvSpPr>
            <xdr:cNvPr id="2254" name="Option Button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xdr:colOff>
          <xdr:row>13</xdr:row>
          <xdr:rowOff>22860</xdr:rowOff>
        </xdr:from>
        <xdr:to>
          <xdr:col>30</xdr:col>
          <xdr:colOff>342900</xdr:colOff>
          <xdr:row>13</xdr:row>
          <xdr:rowOff>152400</xdr:rowOff>
        </xdr:to>
        <xdr:sp macro="" textlink="">
          <xdr:nvSpPr>
            <xdr:cNvPr id="2255" name="Option Button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xdr:colOff>
          <xdr:row>14</xdr:row>
          <xdr:rowOff>30480</xdr:rowOff>
        </xdr:from>
        <xdr:to>
          <xdr:col>30</xdr:col>
          <xdr:colOff>342900</xdr:colOff>
          <xdr:row>14</xdr:row>
          <xdr:rowOff>182880</xdr:rowOff>
        </xdr:to>
        <xdr:sp macro="" textlink="">
          <xdr:nvSpPr>
            <xdr:cNvPr id="2256" name="Option Button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30480</xdr:rowOff>
        </xdr:from>
        <xdr:to>
          <xdr:col>17</xdr:col>
          <xdr:colOff>190500</xdr:colOff>
          <xdr:row>11</xdr:row>
          <xdr:rowOff>160020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22860</xdr:rowOff>
        </xdr:from>
        <xdr:to>
          <xdr:col>17</xdr:col>
          <xdr:colOff>190500</xdr:colOff>
          <xdr:row>10</xdr:row>
          <xdr:rowOff>160020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22860</xdr:rowOff>
        </xdr:from>
        <xdr:to>
          <xdr:col>17</xdr:col>
          <xdr:colOff>190500</xdr:colOff>
          <xdr:row>9</xdr:row>
          <xdr:rowOff>160020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312420</xdr:colOff>
          <xdr:row>12</xdr:row>
          <xdr:rowOff>22860</xdr:rowOff>
        </xdr:from>
        <xdr:to>
          <xdr:col>17</xdr:col>
          <xdr:colOff>190500</xdr:colOff>
          <xdr:row>12</xdr:row>
          <xdr:rowOff>160020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17</xdr:row>
          <xdr:rowOff>30480</xdr:rowOff>
        </xdr:from>
        <xdr:to>
          <xdr:col>22</xdr:col>
          <xdr:colOff>182880</xdr:colOff>
          <xdr:row>17</xdr:row>
          <xdr:rowOff>152400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18</xdr:row>
          <xdr:rowOff>30480</xdr:rowOff>
        </xdr:from>
        <xdr:to>
          <xdr:col>22</xdr:col>
          <xdr:colOff>182880</xdr:colOff>
          <xdr:row>18</xdr:row>
          <xdr:rowOff>182880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19</xdr:row>
          <xdr:rowOff>22860</xdr:rowOff>
        </xdr:from>
        <xdr:to>
          <xdr:col>22</xdr:col>
          <xdr:colOff>182880</xdr:colOff>
          <xdr:row>19</xdr:row>
          <xdr:rowOff>152400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20</xdr:row>
          <xdr:rowOff>30480</xdr:rowOff>
        </xdr:from>
        <xdr:to>
          <xdr:col>22</xdr:col>
          <xdr:colOff>182880</xdr:colOff>
          <xdr:row>20</xdr:row>
          <xdr:rowOff>152400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21</xdr:row>
          <xdr:rowOff>30480</xdr:rowOff>
        </xdr:from>
        <xdr:to>
          <xdr:col>22</xdr:col>
          <xdr:colOff>182880</xdr:colOff>
          <xdr:row>21</xdr:row>
          <xdr:rowOff>152400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22</xdr:row>
          <xdr:rowOff>30480</xdr:rowOff>
        </xdr:from>
        <xdr:to>
          <xdr:col>22</xdr:col>
          <xdr:colOff>182880</xdr:colOff>
          <xdr:row>22</xdr:row>
          <xdr:rowOff>182880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23</xdr:row>
          <xdr:rowOff>22860</xdr:rowOff>
        </xdr:from>
        <xdr:to>
          <xdr:col>22</xdr:col>
          <xdr:colOff>182880</xdr:colOff>
          <xdr:row>23</xdr:row>
          <xdr:rowOff>152400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24</xdr:row>
          <xdr:rowOff>22860</xdr:rowOff>
        </xdr:from>
        <xdr:to>
          <xdr:col>22</xdr:col>
          <xdr:colOff>182880</xdr:colOff>
          <xdr:row>24</xdr:row>
          <xdr:rowOff>152400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304800</xdr:colOff>
          <xdr:row>25</xdr:row>
          <xdr:rowOff>22860</xdr:rowOff>
        </xdr:from>
        <xdr:to>
          <xdr:col>22</xdr:col>
          <xdr:colOff>182880</xdr:colOff>
          <xdr:row>25</xdr:row>
          <xdr:rowOff>152400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297180</xdr:colOff>
          <xdr:row>25</xdr:row>
          <xdr:rowOff>30480</xdr:rowOff>
        </xdr:from>
        <xdr:to>
          <xdr:col>12</xdr:col>
          <xdr:colOff>182880</xdr:colOff>
          <xdr:row>25</xdr:row>
          <xdr:rowOff>182880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297180</xdr:colOff>
          <xdr:row>26</xdr:row>
          <xdr:rowOff>30480</xdr:rowOff>
        </xdr:from>
        <xdr:to>
          <xdr:col>12</xdr:col>
          <xdr:colOff>182880</xdr:colOff>
          <xdr:row>26</xdr:row>
          <xdr:rowOff>182880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297180</xdr:colOff>
          <xdr:row>27</xdr:row>
          <xdr:rowOff>22860</xdr:rowOff>
        </xdr:from>
        <xdr:to>
          <xdr:col>12</xdr:col>
          <xdr:colOff>182880</xdr:colOff>
          <xdr:row>27</xdr:row>
          <xdr:rowOff>152400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297180</xdr:colOff>
          <xdr:row>28</xdr:row>
          <xdr:rowOff>22860</xdr:rowOff>
        </xdr:from>
        <xdr:to>
          <xdr:col>12</xdr:col>
          <xdr:colOff>182880</xdr:colOff>
          <xdr:row>28</xdr:row>
          <xdr:rowOff>152400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114300</xdr:rowOff>
        </xdr:from>
        <xdr:to>
          <xdr:col>5</xdr:col>
          <xdr:colOff>304800</xdr:colOff>
          <xdr:row>31</xdr:row>
          <xdr:rowOff>144780</xdr:rowOff>
        </xdr:to>
        <xdr:sp macro="" textlink="">
          <xdr:nvSpPr>
            <xdr:cNvPr id="22982" name="Button 4550" hidden="1">
              <a:extLst>
                <a:ext uri="{63B3BB69-23CF-44E3-9099-C40C66FF867C}">
                  <a14:compatExt spid="_x0000_s22982"/>
                </a:ext>
                <a:ext uri="{FF2B5EF4-FFF2-40B4-BE49-F238E27FC236}">
                  <a16:creationId xmlns:a16="http://schemas.microsoft.com/office/drawing/2014/main" id="{00000000-0008-0000-0300-0000C659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zur Stückliste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29</xdr:row>
          <xdr:rowOff>114300</xdr:rowOff>
        </xdr:from>
        <xdr:to>
          <xdr:col>16</xdr:col>
          <xdr:colOff>144780</xdr:colOff>
          <xdr:row>31</xdr:row>
          <xdr:rowOff>144780</xdr:rowOff>
        </xdr:to>
        <xdr:sp macro="" textlink="">
          <xdr:nvSpPr>
            <xdr:cNvPr id="22983" name="Button 4551" hidden="1">
              <a:extLst>
                <a:ext uri="{63B3BB69-23CF-44E3-9099-C40C66FF867C}">
                  <a14:compatExt spid="_x0000_s22983"/>
                </a:ext>
                <a:ext uri="{FF2B5EF4-FFF2-40B4-BE49-F238E27FC236}">
                  <a16:creationId xmlns:a16="http://schemas.microsoft.com/office/drawing/2014/main" id="{00000000-0008-0000-0300-0000C759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Drucken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251460</xdr:colOff>
          <xdr:row>29</xdr:row>
          <xdr:rowOff>114300</xdr:rowOff>
        </xdr:from>
        <xdr:to>
          <xdr:col>21</xdr:col>
          <xdr:colOff>0</xdr:colOff>
          <xdr:row>31</xdr:row>
          <xdr:rowOff>144780</xdr:rowOff>
        </xdr:to>
        <xdr:sp macro="" textlink="">
          <xdr:nvSpPr>
            <xdr:cNvPr id="33624" name="Button 7000" hidden="1">
              <a:extLst>
                <a:ext uri="{63B3BB69-23CF-44E3-9099-C40C66FF867C}">
                  <a14:compatExt spid="_x0000_s33624"/>
                </a:ext>
                <a:ext uri="{FF2B5EF4-FFF2-40B4-BE49-F238E27FC236}">
                  <a16:creationId xmlns:a16="http://schemas.microsoft.com/office/drawing/2014/main" id="{00000000-0008-0000-0300-00005883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Neue Kalkulation anlegen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29</xdr:row>
          <xdr:rowOff>114300</xdr:rowOff>
        </xdr:from>
        <xdr:to>
          <xdr:col>10</xdr:col>
          <xdr:colOff>0</xdr:colOff>
          <xdr:row>31</xdr:row>
          <xdr:rowOff>144780</xdr:rowOff>
        </xdr:to>
        <xdr:sp macro="" textlink="">
          <xdr:nvSpPr>
            <xdr:cNvPr id="39747" name="Button 8003" hidden="1">
              <a:extLst>
                <a:ext uri="{63B3BB69-23CF-44E3-9099-C40C66FF867C}">
                  <a14:compatExt spid="_x0000_s39747"/>
                </a:ext>
                <a:ext uri="{FF2B5EF4-FFF2-40B4-BE49-F238E27FC236}">
                  <a16:creationId xmlns:a16="http://schemas.microsoft.com/office/drawing/2014/main" id="{00000000-0008-0000-0300-0000439B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zur Ausgabe komplett</a:t>
              </a:r>
            </a:p>
          </xdr:txBody>
        </xdr:sp>
        <xdr:clientData fPrintsWithSheet="0"/>
      </xdr:twoCellAnchor>
    </mc:Choice>
    <mc:Fallback/>
  </mc:AlternateContent>
  <xdr:twoCellAnchor editAs="oneCell">
    <xdr:from>
      <xdr:col>2</xdr:col>
      <xdr:colOff>0</xdr:colOff>
      <xdr:row>0</xdr:row>
      <xdr:rowOff>19801</xdr:rowOff>
    </xdr:from>
    <xdr:to>
      <xdr:col>3</xdr:col>
      <xdr:colOff>46123</xdr:colOff>
      <xdr:row>1</xdr:row>
      <xdr:rowOff>313574</xdr:rowOff>
    </xdr:to>
    <xdr:pic>
      <xdr:nvPicPr>
        <xdr:cNvPr id="80" name="Grafik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61975" y="19801"/>
          <a:ext cx="627148" cy="6271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304800</xdr:colOff>
          <xdr:row>26</xdr:row>
          <xdr:rowOff>22860</xdr:rowOff>
        </xdr:from>
        <xdr:to>
          <xdr:col>22</xdr:col>
          <xdr:colOff>182880</xdr:colOff>
          <xdr:row>26</xdr:row>
          <xdr:rowOff>152400</xdr:rowOff>
        </xdr:to>
        <xdr:sp macro="" textlink="">
          <xdr:nvSpPr>
            <xdr:cNvPr id="144194" name="Check Box 15170" hidden="1">
              <a:extLst>
                <a:ext uri="{63B3BB69-23CF-44E3-9099-C40C66FF867C}">
                  <a14:compatExt spid="_x0000_s144194"/>
                </a:ext>
                <a:ext uri="{FF2B5EF4-FFF2-40B4-BE49-F238E27FC236}">
                  <a16:creationId xmlns:a16="http://schemas.microsoft.com/office/drawing/2014/main" id="{00000000-0008-0000-0300-0000423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11</xdr:row>
          <xdr:rowOff>0</xdr:rowOff>
        </xdr:from>
        <xdr:to>
          <xdr:col>5</xdr:col>
          <xdr:colOff>914400</xdr:colOff>
          <xdr:row>12</xdr:row>
          <xdr:rowOff>160020</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0400-000001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Drucken</a:t>
              </a:r>
            </a:p>
          </xdr:txBody>
        </xdr:sp>
        <xdr:clientData fPrintsWithSheet="0"/>
      </xdr:twoCellAnchor>
    </mc:Choice>
    <mc:Fallback/>
  </mc:AlternateContent>
  <xdr:twoCellAnchor editAs="oneCell">
    <xdr:from>
      <xdr:col>0</xdr:col>
      <xdr:colOff>572990</xdr:colOff>
      <xdr:row>0</xdr:row>
      <xdr:rowOff>22412</xdr:rowOff>
    </xdr:from>
    <xdr:to>
      <xdr:col>1</xdr:col>
      <xdr:colOff>614452</xdr:colOff>
      <xdr:row>4</xdr:row>
      <xdr:rowOff>101974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990" y="22412"/>
          <a:ext cx="622487" cy="62248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251460</xdr:colOff>
          <xdr:row>4</xdr:row>
          <xdr:rowOff>0</xdr:rowOff>
        </xdr:from>
        <xdr:to>
          <xdr:col>15</xdr:col>
          <xdr:colOff>1021080</xdr:colOff>
          <xdr:row>5</xdr:row>
          <xdr:rowOff>0</xdr:rowOff>
        </xdr:to>
        <xdr:sp macro="" textlink="">
          <xdr:nvSpPr>
            <xdr:cNvPr id="34818" name="Option Button 2" hidden="1">
              <a:extLst>
                <a:ext uri="{63B3BB69-23CF-44E3-9099-C40C66FF867C}">
                  <a14:compatExt spid="_x0000_s34818"/>
                </a:ext>
                <a:ext uri="{FF2B5EF4-FFF2-40B4-BE49-F238E27FC236}">
                  <a16:creationId xmlns:a16="http://schemas.microsoft.com/office/drawing/2014/main" id="{00000000-0008-0000-04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251460</xdr:colOff>
          <xdr:row>4</xdr:row>
          <xdr:rowOff>198120</xdr:rowOff>
        </xdr:from>
        <xdr:to>
          <xdr:col>15</xdr:col>
          <xdr:colOff>1021080</xdr:colOff>
          <xdr:row>6</xdr:row>
          <xdr:rowOff>7620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04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11</xdr:row>
          <xdr:rowOff>0</xdr:rowOff>
        </xdr:from>
        <xdr:to>
          <xdr:col>5</xdr:col>
          <xdr:colOff>914400</xdr:colOff>
          <xdr:row>12</xdr:row>
          <xdr:rowOff>160020</xdr:rowOff>
        </xdr:to>
        <xdr:sp macro="" textlink="">
          <xdr:nvSpPr>
            <xdr:cNvPr id="49153" name="Button 1" hidden="1">
              <a:extLst>
                <a:ext uri="{63B3BB69-23CF-44E3-9099-C40C66FF867C}">
                  <a14:compatExt spid="_x0000_s49153"/>
                </a:ext>
                <a:ext uri="{FF2B5EF4-FFF2-40B4-BE49-F238E27FC236}">
                  <a16:creationId xmlns:a16="http://schemas.microsoft.com/office/drawing/2014/main" id="{00000000-0008-0000-0500-000001C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Drucken</a:t>
              </a:r>
            </a:p>
          </xdr:txBody>
        </xdr:sp>
        <xdr:clientData fPrintsWithSheet="0"/>
      </xdr:twoCellAnchor>
    </mc:Choice>
    <mc:Fallback/>
  </mc:AlternateContent>
  <xdr:twoCellAnchor editAs="oneCell">
    <xdr:from>
      <xdr:col>1</xdr:col>
      <xdr:colOff>0</xdr:colOff>
      <xdr:row>0</xdr:row>
      <xdr:rowOff>19801</xdr:rowOff>
    </xdr:from>
    <xdr:to>
      <xdr:col>1</xdr:col>
      <xdr:colOff>627148</xdr:colOff>
      <xdr:row>4</xdr:row>
      <xdr:rowOff>104024</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19801"/>
          <a:ext cx="627148" cy="6271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251460</xdr:colOff>
          <xdr:row>4</xdr:row>
          <xdr:rowOff>0</xdr:rowOff>
        </xdr:from>
        <xdr:to>
          <xdr:col>15</xdr:col>
          <xdr:colOff>1021080</xdr:colOff>
          <xdr:row>5</xdr:row>
          <xdr:rowOff>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5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251460</xdr:colOff>
          <xdr:row>4</xdr:row>
          <xdr:rowOff>198120</xdr:rowOff>
        </xdr:from>
        <xdr:to>
          <xdr:col>15</xdr:col>
          <xdr:colOff>1021080</xdr:colOff>
          <xdr:row>6</xdr:row>
          <xdr:rowOff>7620</xdr:rowOff>
        </xdr:to>
        <xdr:sp macro="" textlink="">
          <xdr:nvSpPr>
            <xdr:cNvPr id="49155" name="Option Button 3" hidden="1">
              <a:extLst>
                <a:ext uri="{63B3BB69-23CF-44E3-9099-C40C66FF867C}">
                  <a14:compatExt spid="_x0000_s49155"/>
                </a:ext>
                <a:ext uri="{FF2B5EF4-FFF2-40B4-BE49-F238E27FC236}">
                  <a16:creationId xmlns:a16="http://schemas.microsoft.com/office/drawing/2014/main" id="{00000000-0008-0000-05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651070</xdr:colOff>
      <xdr:row>12</xdr:row>
      <xdr:rowOff>2310</xdr:rowOff>
    </xdr:from>
    <xdr:to>
      <xdr:col>0</xdr:col>
      <xdr:colOff>772990</xdr:colOff>
      <xdr:row>25</xdr:row>
      <xdr:rowOff>157485</xdr:rowOff>
    </xdr:to>
    <xdr:sp macro="" textlink="">
      <xdr:nvSpPr>
        <xdr:cNvPr id="2" name="Rechteck 1">
          <a:extLst>
            <a:ext uri="{FF2B5EF4-FFF2-40B4-BE49-F238E27FC236}">
              <a16:creationId xmlns:a16="http://schemas.microsoft.com/office/drawing/2014/main" id="{00000000-0008-0000-0600-000002000000}"/>
            </a:ext>
          </a:extLst>
        </xdr:cNvPr>
        <xdr:cNvSpPr/>
      </xdr:nvSpPr>
      <xdr:spPr>
        <a:xfrm>
          <a:off x="651070" y="2735985"/>
          <a:ext cx="121920" cy="2631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de-DE"/>
        </a:p>
      </xdr:txBody>
    </xdr:sp>
    <xdr:clientData/>
  </xdr:twoCellAnchor>
  <xdr:twoCellAnchor>
    <xdr:from>
      <xdr:col>0</xdr:col>
      <xdr:colOff>804756</xdr:colOff>
      <xdr:row>13</xdr:row>
      <xdr:rowOff>52069</xdr:rowOff>
    </xdr:from>
    <xdr:to>
      <xdr:col>0</xdr:col>
      <xdr:colOff>1312842</xdr:colOff>
      <xdr:row>25</xdr:row>
      <xdr:rowOff>163989</xdr:rowOff>
    </xdr:to>
    <xdr:sp macro="" textlink="">
      <xdr:nvSpPr>
        <xdr:cNvPr id="3" name="Rechtwinkliges Dreieck 2">
          <a:extLst>
            <a:ext uri="{FF2B5EF4-FFF2-40B4-BE49-F238E27FC236}">
              <a16:creationId xmlns:a16="http://schemas.microsoft.com/office/drawing/2014/main" id="{00000000-0008-0000-0600-000003000000}"/>
            </a:ext>
          </a:extLst>
        </xdr:cNvPr>
        <xdr:cNvSpPr/>
      </xdr:nvSpPr>
      <xdr:spPr>
        <a:xfrm>
          <a:off x="804756" y="2976244"/>
          <a:ext cx="508086" cy="2397920"/>
        </a:xfrm>
        <a:prstGeom prst="rtTriangl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de-DE"/>
        </a:p>
      </xdr:txBody>
    </xdr:sp>
    <xdr:clientData/>
  </xdr:twoCellAnchor>
  <xdr:twoCellAnchor>
    <xdr:from>
      <xdr:col>0</xdr:col>
      <xdr:colOff>385180</xdr:colOff>
      <xdr:row>13</xdr:row>
      <xdr:rowOff>52069</xdr:rowOff>
    </xdr:from>
    <xdr:to>
      <xdr:col>0</xdr:col>
      <xdr:colOff>804765</xdr:colOff>
      <xdr:row>13</xdr:row>
      <xdr:rowOff>54451</xdr:rowOff>
    </xdr:to>
    <xdr:cxnSp macro="">
      <xdr:nvCxnSpPr>
        <xdr:cNvPr id="4" name="Gerade Verbindung 33">
          <a:extLst>
            <a:ext uri="{FF2B5EF4-FFF2-40B4-BE49-F238E27FC236}">
              <a16:creationId xmlns:a16="http://schemas.microsoft.com/office/drawing/2014/main" id="{00000000-0008-0000-0600-000004000000}"/>
            </a:ext>
          </a:extLst>
        </xdr:cNvPr>
        <xdr:cNvCxnSpPr>
          <a:stCxn id="3" idx="0"/>
        </xdr:cNvCxnSpPr>
      </xdr:nvCxnSpPr>
      <xdr:spPr>
        <a:xfrm rot="16200000" flipH="1" flipV="1">
          <a:off x="593782" y="2767642"/>
          <a:ext cx="2382" cy="4195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414867</xdr:colOff>
      <xdr:row>25</xdr:row>
      <xdr:rowOff>160870</xdr:rowOff>
    </xdr:from>
    <xdr:to>
      <xdr:col>0</xdr:col>
      <xdr:colOff>804756</xdr:colOff>
      <xdr:row>25</xdr:row>
      <xdr:rowOff>163989</xdr:rowOff>
    </xdr:to>
    <xdr:cxnSp macro="">
      <xdr:nvCxnSpPr>
        <xdr:cNvPr id="5" name="Gerade Verbindung 34">
          <a:extLst>
            <a:ext uri="{FF2B5EF4-FFF2-40B4-BE49-F238E27FC236}">
              <a16:creationId xmlns:a16="http://schemas.microsoft.com/office/drawing/2014/main" id="{00000000-0008-0000-0600-000005000000}"/>
            </a:ext>
          </a:extLst>
        </xdr:cNvPr>
        <xdr:cNvCxnSpPr>
          <a:stCxn id="3" idx="2"/>
        </xdr:cNvCxnSpPr>
      </xdr:nvCxnSpPr>
      <xdr:spPr>
        <a:xfrm flipH="1" flipV="1">
          <a:off x="414867" y="5371045"/>
          <a:ext cx="389889" cy="31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457200</xdr:colOff>
      <xdr:row>13</xdr:row>
      <xdr:rowOff>84667</xdr:rowOff>
    </xdr:from>
    <xdr:to>
      <xdr:col>0</xdr:col>
      <xdr:colOff>457200</xdr:colOff>
      <xdr:row>25</xdr:row>
      <xdr:rowOff>135470</xdr:rowOff>
    </xdr:to>
    <xdr:cxnSp macro="">
      <xdr:nvCxnSpPr>
        <xdr:cNvPr id="6" name="Gerade Verbindung mit Pfeil 5">
          <a:extLst>
            <a:ext uri="{FF2B5EF4-FFF2-40B4-BE49-F238E27FC236}">
              <a16:creationId xmlns:a16="http://schemas.microsoft.com/office/drawing/2014/main" id="{00000000-0008-0000-0600-000006000000}"/>
            </a:ext>
          </a:extLst>
        </xdr:cNvPr>
        <xdr:cNvCxnSpPr/>
      </xdr:nvCxnSpPr>
      <xdr:spPr>
        <a:xfrm>
          <a:off x="457200" y="3008842"/>
          <a:ext cx="0" cy="2336803"/>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211932</xdr:colOff>
      <xdr:row>14</xdr:row>
      <xdr:rowOff>0</xdr:rowOff>
    </xdr:from>
    <xdr:to>
      <xdr:col>0</xdr:col>
      <xdr:colOff>388685</xdr:colOff>
      <xdr:row>24</xdr:row>
      <xdr:rowOff>59374</xdr:rowOff>
    </xdr:to>
    <xdr:sp macro="" textlink="">
      <xdr:nvSpPr>
        <xdr:cNvPr id="7" name="Textfeld 6">
          <a:extLst>
            <a:ext uri="{FF2B5EF4-FFF2-40B4-BE49-F238E27FC236}">
              <a16:creationId xmlns:a16="http://schemas.microsoft.com/office/drawing/2014/main" id="{00000000-0008-0000-0600-000007000000}"/>
            </a:ext>
          </a:extLst>
        </xdr:cNvPr>
        <xdr:cNvSpPr txBox="1"/>
      </xdr:nvSpPr>
      <xdr:spPr>
        <a:xfrm>
          <a:off x="211932" y="3114675"/>
          <a:ext cx="176753" cy="1964374"/>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nchorCtr="1"/>
        <a:lstStyle/>
        <a:p>
          <a:r>
            <a:rPr lang="de-DE" sz="1100"/>
            <a:t>Stauhöhe</a:t>
          </a:r>
        </a:p>
      </xdr:txBody>
    </xdr:sp>
    <xdr:clientData/>
  </xdr:twoCellAnchor>
  <xdr:twoCellAnchor>
    <xdr:from>
      <xdr:col>0</xdr:col>
      <xdr:colOff>802714</xdr:colOff>
      <xdr:row>25</xdr:row>
      <xdr:rowOff>163989</xdr:rowOff>
    </xdr:from>
    <xdr:to>
      <xdr:col>0</xdr:col>
      <xdr:colOff>804756</xdr:colOff>
      <xdr:row>27</xdr:row>
      <xdr:rowOff>35664</xdr:rowOff>
    </xdr:to>
    <xdr:cxnSp macro="">
      <xdr:nvCxnSpPr>
        <xdr:cNvPr id="8" name="Gerade Verbindung 37">
          <a:extLst>
            <a:ext uri="{FF2B5EF4-FFF2-40B4-BE49-F238E27FC236}">
              <a16:creationId xmlns:a16="http://schemas.microsoft.com/office/drawing/2014/main" id="{00000000-0008-0000-0600-000008000000}"/>
            </a:ext>
          </a:extLst>
        </xdr:cNvPr>
        <xdr:cNvCxnSpPr>
          <a:stCxn id="3" idx="2"/>
        </xdr:cNvCxnSpPr>
      </xdr:nvCxnSpPr>
      <xdr:spPr>
        <a:xfrm rot="5400000">
          <a:off x="677397" y="5499481"/>
          <a:ext cx="252675" cy="20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754788</xdr:colOff>
      <xdr:row>27</xdr:row>
      <xdr:rowOff>0</xdr:rowOff>
    </xdr:from>
    <xdr:to>
      <xdr:col>0</xdr:col>
      <xdr:colOff>1336281</xdr:colOff>
      <xdr:row>27</xdr:row>
      <xdr:rowOff>5102</xdr:rowOff>
    </xdr:to>
    <xdr:cxnSp macro="">
      <xdr:nvCxnSpPr>
        <xdr:cNvPr id="9" name="Gerade Verbindung mit Pfeil 8">
          <a:extLst>
            <a:ext uri="{FF2B5EF4-FFF2-40B4-BE49-F238E27FC236}">
              <a16:creationId xmlns:a16="http://schemas.microsoft.com/office/drawing/2014/main" id="{00000000-0008-0000-0600-000009000000}"/>
            </a:ext>
          </a:extLst>
        </xdr:cNvPr>
        <xdr:cNvCxnSpPr/>
      </xdr:nvCxnSpPr>
      <xdr:spPr>
        <a:xfrm flipV="1">
          <a:off x="754788" y="5591175"/>
          <a:ext cx="581493" cy="5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538332</xdr:colOff>
      <xdr:row>25</xdr:row>
      <xdr:rowOff>3782</xdr:rowOff>
    </xdr:from>
    <xdr:to>
      <xdr:col>0</xdr:col>
      <xdr:colOff>1502484</xdr:colOff>
      <xdr:row>27</xdr:row>
      <xdr:rowOff>163890</xdr:rowOff>
    </xdr:to>
    <xdr:sp macro="" textlink="">
      <xdr:nvSpPr>
        <xdr:cNvPr id="10" name="Textfeld 9">
          <a:extLst>
            <a:ext uri="{FF2B5EF4-FFF2-40B4-BE49-F238E27FC236}">
              <a16:creationId xmlns:a16="http://schemas.microsoft.com/office/drawing/2014/main" id="{00000000-0008-0000-0600-00000A000000}"/>
            </a:ext>
          </a:extLst>
        </xdr:cNvPr>
        <xdr:cNvSpPr txBox="1"/>
      </xdr:nvSpPr>
      <xdr:spPr>
        <a:xfrm>
          <a:off x="538332" y="5213957"/>
          <a:ext cx="964152" cy="541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DE" sz="1100" b="1">
              <a:solidFill>
                <a:schemeClr val="dk1"/>
              </a:solidFill>
              <a:latin typeface="+mn-lt"/>
              <a:ea typeface="+mn-ea"/>
              <a:cs typeface="+mn-cs"/>
            </a:rPr>
            <a:t>p Str</a:t>
          </a:r>
          <a:endParaRPr lang="de-DE" sz="1100">
            <a:solidFill>
              <a:schemeClr val="dk1"/>
            </a:solidFill>
            <a:latin typeface="+mn-lt"/>
            <a:ea typeface="+mn-ea"/>
            <a:cs typeface="+mn-cs"/>
          </a:endParaRPr>
        </a:p>
      </xdr:txBody>
    </xdr:sp>
    <xdr:clientData/>
  </xdr:twoCellAnchor>
  <xdr:twoCellAnchor>
    <xdr:from>
      <xdr:col>0</xdr:col>
      <xdr:colOff>716280</xdr:colOff>
      <xdr:row>26</xdr:row>
      <xdr:rowOff>0</xdr:rowOff>
    </xdr:from>
    <xdr:to>
      <xdr:col>0</xdr:col>
      <xdr:colOff>716280</xdr:colOff>
      <xdr:row>26</xdr:row>
      <xdr:rowOff>0</xdr:rowOff>
    </xdr:to>
    <xdr:cxnSp macro="">
      <xdr:nvCxnSpPr>
        <xdr:cNvPr id="11" name="Gerade Verbindung mit Pfeil 41">
          <a:extLst>
            <a:ext uri="{FF2B5EF4-FFF2-40B4-BE49-F238E27FC236}">
              <a16:creationId xmlns:a16="http://schemas.microsoft.com/office/drawing/2014/main" id="{00000000-0008-0000-0600-00000B000000}"/>
            </a:ext>
          </a:extLst>
        </xdr:cNvPr>
        <xdr:cNvCxnSpPr>
          <a:cxnSpLocks noChangeShapeType="1"/>
          <a:stCxn id="2" idx="2"/>
          <a:endCxn id="2" idx="2"/>
        </xdr:cNvCxnSpPr>
      </xdr:nvCxnSpPr>
      <xdr:spPr bwMode="auto">
        <a:xfrm>
          <a:off x="716280" y="5400675"/>
          <a:ext cx="0" cy="0"/>
        </a:xfrm>
        <a:prstGeom prst="straightConnector1">
          <a:avLst/>
        </a:prstGeom>
        <a:noFill/>
        <a:ln w="9525" algn="ctr">
          <a:solidFill>
            <a:srgbClr val="4A7EBB"/>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285750</xdr:colOff>
      <xdr:row>2</xdr:row>
      <xdr:rowOff>158750</xdr:rowOff>
    </xdr:from>
    <xdr:to>
      <xdr:col>43</xdr:col>
      <xdr:colOff>121398</xdr:colOff>
      <xdr:row>6</xdr:row>
      <xdr:rowOff>167031</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96000" y="158750"/>
          <a:ext cx="724648" cy="706781"/>
        </a:xfrm>
        <a:prstGeom prst="rect">
          <a:avLst/>
        </a:prstGeom>
      </xdr:spPr>
    </xdr:pic>
    <xdr:clientData/>
  </xdr:twoCellAnchor>
  <xdr:twoCellAnchor editAs="oneCell">
    <xdr:from>
      <xdr:col>1</xdr:col>
      <xdr:colOff>285750</xdr:colOff>
      <xdr:row>2</xdr:row>
      <xdr:rowOff>158750</xdr:rowOff>
    </xdr:from>
    <xdr:to>
      <xdr:col>3</xdr:col>
      <xdr:colOff>121398</xdr:colOff>
      <xdr:row>6</xdr:row>
      <xdr:rowOff>167031</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125" y="158750"/>
          <a:ext cx="724648" cy="706781"/>
        </a:xfrm>
        <a:prstGeom prst="rect">
          <a:avLst/>
        </a:prstGeom>
      </xdr:spPr>
    </xdr:pic>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uellner Andreas" refreshedDate="44630.55010659722" createdVersion="3" refreshedVersion="6" minRefreshableVersion="3" recordCount="159" xr:uid="{00000000-000A-0000-FFFF-FFFF00000000}">
  <cacheSource type="worksheet">
    <worksheetSource ref="AV41:AW200" sheet="Kalkulation 1"/>
  </cacheSource>
  <cacheFields count="2">
    <cacheField name="Stk" numFmtId="0">
      <sharedItems containsString="0" containsBlank="1" containsNumber="1" containsInteger="1" minValue="5" maxValue="5"/>
    </cacheField>
    <cacheField name="Länge" numFmtId="0">
      <sharedItems containsString="0" containsBlank="1" containsNumber="1" containsInteger="1" minValue="1086" maxValue="1086" count="2">
        <n v="1086"/>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ellner Andreas" refreshedDate="44630.550217708333" createdVersion="6" refreshedVersion="6" minRefreshableVersion="3" recordCount="669" xr:uid="{00000000-000A-0000-FFFF-FFFF01000000}">
  <cacheSource type="worksheet">
    <worksheetSource ref="Q16:R1062" sheet="HWS-Stückliste-Kalk-Komplett"/>
  </cacheSource>
  <cacheFields count="2">
    <cacheField name="Länge" numFmtId="0">
      <sharedItems containsNonDate="0" containsString="0" containsBlank="1" containsNumber="1" minValue="815" maxValue="5140" count="13">
        <m/>
        <n v="5140" u="1"/>
        <n v="1975" u="1"/>
        <n v="4660" u="1"/>
        <n v="1275" u="1"/>
        <n v="875" u="1"/>
        <n v="1105" u="1"/>
        <n v="815" u="1"/>
        <n v="3065" u="1"/>
        <n v="4945" u="1"/>
        <n v="4420" u="1"/>
        <n v="820" u="1"/>
        <n v="4957.5" u="1"/>
      </sharedItems>
    </cacheField>
    <cacheField name="St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ellner Andreas" refreshedDate="44630.550219560188" createdVersion="6" refreshedVersion="6" minRefreshableVersion="3" recordCount="669" xr:uid="{00000000-000A-0000-FFFF-FFFF02000000}">
  <cacheSource type="worksheet">
    <worksheetSource ref="S16:T1062" sheet="HWS-Stückliste-Kalk-Komplett"/>
  </cacheSource>
  <cacheFields count="2">
    <cacheField name="Länge" numFmtId="0">
      <sharedItems containsNonDate="0" containsString="0" containsBlank="1" containsNumber="1" containsInteger="1" minValue="1086" maxValue="3040" count="3">
        <m/>
        <n v="1086" u="1"/>
        <n v="3040" u="1"/>
      </sharedItems>
    </cacheField>
    <cacheField name="St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ellner Andreas" refreshedDate="44630.550221759258" createdVersion="6" refreshedVersion="6" minRefreshableVersion="3" recordCount="669" xr:uid="{00000000-000A-0000-FFFF-FFFF03000000}">
  <cacheSource type="worksheet">
    <worksheetSource ref="U16:V1062" sheet="HWS-Stückliste-Kalk-Komplett"/>
  </cacheSource>
  <cacheFields count="2">
    <cacheField name="Länge" numFmtId="0">
      <sharedItems containsString="0" containsBlank="1" containsNumber="1" minValue="80" maxValue="4945" count="20">
        <n v="1086"/>
        <m/>
        <n v="568" u="1"/>
        <n v="1080" u="1"/>
        <n v="4435" u="1"/>
        <n v="481.5" u="1"/>
        <n v="586" u="1"/>
        <n v="4018" u="1"/>
        <n v="328.66666666666669" u="1"/>
        <n v="945" u="1"/>
        <n v="2950" u="1"/>
        <n v="1950" u="1"/>
        <n v="886" u="1"/>
        <n v="1290" u="1"/>
        <n v="2662" u="1"/>
        <n v="80" u="1"/>
        <n v="1586" u="1"/>
        <n v="840" u="1"/>
        <n v="3950" u="1"/>
        <n v="4945" u="1"/>
      </sharedItems>
    </cacheField>
    <cacheField name="Stk" numFmtId="0">
      <sharedItems containsString="0" containsBlank="1" containsNumber="1" containsInteger="1" minValue="5" maxValue="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ellner Andreas" refreshedDate="44630.550223726852" createdVersion="6" refreshedVersion="6" minRefreshableVersion="3" recordCount="669" xr:uid="{00000000-000A-0000-FFFF-FFFF04000000}">
  <cacheSource type="worksheet">
    <worksheetSource ref="W16:X1062" sheet="HWS-Stückliste-Kalk-Komplett"/>
  </cacheSource>
  <cacheFields count="2">
    <cacheField name="Länge" numFmtId="0">
      <sharedItems containsNonDate="0" containsString="0" containsBlank="1" containsNumber="1" minValue="905" maxValue="5080" count="10">
        <m/>
        <n v="4675" u="1"/>
        <n v="1497.5" u="1"/>
        <n v="1086" u="1"/>
        <n v="3040" u="1"/>
        <n v="1950" u="1"/>
        <n v="5080" u="1"/>
        <n v="1290" u="1"/>
        <n v="905" u="1"/>
        <n v="4945" u="1"/>
      </sharedItems>
    </cacheField>
    <cacheField name="St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9">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pivotCacheRecords>
</file>

<file path=xl/pivotCache/pivotCacheRecords2.xml><?xml version="1.0" encoding="utf-8"?>
<pivotCacheRecords xmlns="http://schemas.openxmlformats.org/spreadsheetml/2006/main" xmlns:r="http://schemas.openxmlformats.org/officeDocument/2006/relationships" count="669">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pivotCacheRecords>
</file>

<file path=xl/pivotCache/pivotCacheRecords3.xml><?xml version="1.0" encoding="utf-8"?>
<pivotCacheRecords xmlns="http://schemas.openxmlformats.org/spreadsheetml/2006/main" xmlns:r="http://schemas.openxmlformats.org/officeDocument/2006/relationships" count="669">
  <r>
    <x v="0"/>
    <n v="5"/>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r>
    <x v="1"/>
    <m/>
  </r>
</pivotCacheRecords>
</file>

<file path=xl/pivotCache/pivotCacheRecords4.xml><?xml version="1.0" encoding="utf-8"?>
<pivotCacheRecords xmlns="http://schemas.openxmlformats.org/spreadsheetml/2006/main" xmlns:r="http://schemas.openxmlformats.org/officeDocument/2006/relationships" count="669">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r>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0"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location ref="AX41:AY43" firstHeaderRow="1" firstDataRow="1" firstDataCol="1"/>
  <pivotFields count="2">
    <pivotField dataField="1" showAll="0"/>
    <pivotField axis="axisRow" showAll="0" sortType="descending">
      <items count="3">
        <item x="1"/>
        <item x="0"/>
        <item t="default"/>
      </items>
    </pivotField>
  </pivotFields>
  <rowFields count="1">
    <field x="1"/>
  </rowFields>
  <rowItems count="2">
    <i>
      <x/>
    </i>
    <i>
      <x v="1"/>
    </i>
  </rowItems>
  <colItems count="1">
    <i/>
  </colItems>
  <dataFields count="1">
    <dataField name="Summe von Stk" fld="0" baseField="1" baseItem="0"/>
  </dataFields>
  <formats count="6">
    <format dxfId="203">
      <pivotArea type="all" dataOnly="0" outline="0" fieldPosition="0"/>
    </format>
    <format dxfId="202">
      <pivotArea outline="0" collapsedLevelsAreSubtotals="1" fieldPosition="0"/>
    </format>
    <format dxfId="201">
      <pivotArea field="1" type="button" dataOnly="0" labelOnly="1" outline="0" axis="axisRow" fieldPosition="0"/>
    </format>
    <format dxfId="200">
      <pivotArea dataOnly="0" labelOnly="1" outline="0" axis="axisValues" fieldPosition="0"/>
    </format>
    <format dxfId="199">
      <pivotArea dataOnly="0" labelOnly="1" fieldPosition="0">
        <references count="1">
          <reference field="1" count="0"/>
        </references>
      </pivotArea>
    </format>
    <format dxfId="19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_2" cacheId="12"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location ref="AD17:AE18" firstHeaderRow="1" firstDataRow="1" firstDataCol="1"/>
  <pivotFields count="2">
    <pivotField axis="axisRow" showAll="0" sortType="descending" defaultSubtotal="0">
      <items count="3">
        <item x="0"/>
        <item m="1" x="2"/>
        <item m="1" x="1"/>
      </items>
    </pivotField>
    <pivotField dataField="1" showAll="0" defaultSubtotal="0"/>
  </pivotFields>
  <rowFields count="1">
    <field x="0"/>
  </rowFields>
  <rowItems count="1">
    <i>
      <x/>
    </i>
  </rowItems>
  <colItems count="1">
    <i/>
  </colItems>
  <dataFields count="1">
    <dataField name="Summe von Stk"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_1" cacheId="11"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location ref="AA17:AB18" firstHeaderRow="1" firstDataRow="1" firstDataCol="1"/>
  <pivotFields count="2">
    <pivotField axis="axisRow" showAll="0" sortType="descending" defaultSubtotal="0">
      <items count="13">
        <item x="0"/>
        <item m="1" x="1"/>
        <item m="1" x="12"/>
        <item m="1" x="9"/>
        <item m="1" x="3"/>
        <item m="1" x="10"/>
        <item m="1" x="8"/>
        <item m="1" x="2"/>
        <item m="1" x="4"/>
        <item m="1" x="6"/>
        <item m="1" x="5"/>
        <item m="1" x="11"/>
        <item m="1" x="7"/>
      </items>
    </pivotField>
    <pivotField dataField="1" showAll="0" defaultSubtotal="0"/>
  </pivotFields>
  <rowFields count="1">
    <field x="0"/>
  </rowFields>
  <rowItems count="1">
    <i>
      <x/>
    </i>
  </rowItems>
  <colItems count="1">
    <i/>
  </colItems>
  <dataFields count="1">
    <dataField name="Summe von Stk"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_4" cacheId="14"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location ref="AJ17:AK18" firstHeaderRow="1" firstDataRow="1" firstDataCol="1"/>
  <pivotFields count="2">
    <pivotField axis="axisRow" showAll="0" sortType="descending" defaultSubtotal="0">
      <items count="10">
        <item x="0"/>
        <item m="1" x="6"/>
        <item m="1" x="9"/>
        <item m="1" x="1"/>
        <item m="1" x="4"/>
        <item m="1" x="5"/>
        <item m="1" x="2"/>
        <item m="1" x="7"/>
        <item m="1" x="3"/>
        <item m="1" x="8"/>
      </items>
    </pivotField>
    <pivotField dataField="1" showAll="0" defaultSubtotal="0"/>
  </pivotFields>
  <rowFields count="1">
    <field x="0"/>
  </rowFields>
  <rowItems count="1">
    <i>
      <x/>
    </i>
  </rowItems>
  <colItems count="1">
    <i/>
  </colItems>
  <dataFields count="1">
    <dataField name="Summe von Stk"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_3" cacheId="13"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location ref="AG17:AH19" firstHeaderRow="1" firstDataRow="1" firstDataCol="1"/>
  <pivotFields count="2">
    <pivotField axis="axisRow" showAll="0" sortType="descending" defaultSubtotal="0">
      <items count="20">
        <item x="1"/>
        <item m="1" x="19"/>
        <item m="1" x="4"/>
        <item m="1" x="7"/>
        <item m="1" x="18"/>
        <item m="1" x="10"/>
        <item m="1" x="14"/>
        <item m="1" x="11"/>
        <item m="1" x="16"/>
        <item m="1" x="13"/>
        <item x="0"/>
        <item m="1" x="3"/>
        <item m="1" x="9"/>
        <item m="1" x="12"/>
        <item m="1" x="17"/>
        <item m="1" x="6"/>
        <item m="1" x="2"/>
        <item m="1" x="5"/>
        <item m="1" x="8"/>
        <item m="1" x="15"/>
      </items>
    </pivotField>
    <pivotField dataField="1" showAll="0" defaultSubtotal="0"/>
  </pivotFields>
  <rowFields count="1">
    <field x="0"/>
  </rowFields>
  <rowItems count="2">
    <i>
      <x/>
    </i>
    <i>
      <x v="10"/>
    </i>
  </rowItems>
  <colItems count="1">
    <i/>
  </colItems>
  <dataFields count="1">
    <dataField name="Summe von Stk"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ctrlProp" Target="../ctrlProps/ctrlProp3.xml"/><Relationship Id="rId26" Type="http://schemas.openxmlformats.org/officeDocument/2006/relationships/ctrlProp" Target="../ctrlProps/ctrlProp11.xml"/><Relationship Id="rId3" Type="http://schemas.openxmlformats.org/officeDocument/2006/relationships/vmlDrawing" Target="../drawings/vmlDrawing1.vml"/><Relationship Id="rId21" Type="http://schemas.openxmlformats.org/officeDocument/2006/relationships/ctrlProp" Target="../ctrlProps/ctrlProp6.xml"/><Relationship Id="rId34" Type="http://schemas.openxmlformats.org/officeDocument/2006/relationships/ctrlProp" Target="../ctrlProps/ctrlProp19.x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ctrlProp" Target="../ctrlProps/ctrlProp2.xml"/><Relationship Id="rId25" Type="http://schemas.openxmlformats.org/officeDocument/2006/relationships/ctrlProp" Target="../ctrlProps/ctrlProp10.xml"/><Relationship Id="rId33" Type="http://schemas.openxmlformats.org/officeDocument/2006/relationships/ctrlProp" Target="../ctrlProps/ctrlProp18.xml"/><Relationship Id="rId2" Type="http://schemas.openxmlformats.org/officeDocument/2006/relationships/drawing" Target="../drawings/drawing1.xml"/><Relationship Id="rId16" Type="http://schemas.openxmlformats.org/officeDocument/2006/relationships/ctrlProp" Target="../ctrlProps/ctrlProp1.xml"/><Relationship Id="rId20" Type="http://schemas.openxmlformats.org/officeDocument/2006/relationships/ctrlProp" Target="../ctrlProps/ctrlProp5.xml"/><Relationship Id="rId29" Type="http://schemas.openxmlformats.org/officeDocument/2006/relationships/ctrlProp" Target="../ctrlProps/ctrlProp14.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ctrlProp" Target="../ctrlProps/ctrlProp9.xml"/><Relationship Id="rId32" Type="http://schemas.openxmlformats.org/officeDocument/2006/relationships/ctrlProp" Target="../ctrlProps/ctrlProp17.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ctrlProp" Target="../ctrlProps/ctrlProp8.xml"/><Relationship Id="rId28" Type="http://schemas.openxmlformats.org/officeDocument/2006/relationships/ctrlProp" Target="../ctrlProps/ctrlProp13.xml"/><Relationship Id="rId10" Type="http://schemas.openxmlformats.org/officeDocument/2006/relationships/oleObject" Target="../embeddings/oleObject4.bin"/><Relationship Id="rId19" Type="http://schemas.openxmlformats.org/officeDocument/2006/relationships/ctrlProp" Target="../ctrlProps/ctrlProp4.xml"/><Relationship Id="rId31" Type="http://schemas.openxmlformats.org/officeDocument/2006/relationships/ctrlProp" Target="../ctrlProps/ctrlProp16.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ctrlProp" Target="../ctrlProps/ctrlProp7.xml"/><Relationship Id="rId27" Type="http://schemas.openxmlformats.org/officeDocument/2006/relationships/ctrlProp" Target="../ctrlProps/ctrlProp12.xml"/><Relationship Id="rId30" Type="http://schemas.openxmlformats.org/officeDocument/2006/relationships/ctrlProp" Target="../ctrlProps/ctrlProp15.xml"/><Relationship Id="rId35" Type="http://schemas.openxmlformats.org/officeDocument/2006/relationships/ctrlProp" Target="../ctrlProps/ctrlProp20.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2.xml"/><Relationship Id="rId16" Type="http://schemas.openxmlformats.org/officeDocument/2006/relationships/ctrlProp" Target="../ctrlProps/ctrlProp33.xml"/><Relationship Id="rId1" Type="http://schemas.openxmlformats.org/officeDocument/2006/relationships/printerSettings" Target="../printerSettings/printerSettings2.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9.emf"/><Relationship Id="rId4" Type="http://schemas.openxmlformats.org/officeDocument/2006/relationships/oleObject" Target="../embeddings/oleObject7.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9" Type="http://schemas.openxmlformats.org/officeDocument/2006/relationships/ctrlProp" Target="../ctrlProps/ctrlProp71.xml"/><Relationship Id="rId21" Type="http://schemas.openxmlformats.org/officeDocument/2006/relationships/ctrlProp" Target="../ctrlProps/ctrlProp53.xml"/><Relationship Id="rId34" Type="http://schemas.openxmlformats.org/officeDocument/2006/relationships/ctrlProp" Target="../ctrlProps/ctrlProp66.xml"/><Relationship Id="rId42" Type="http://schemas.openxmlformats.org/officeDocument/2006/relationships/ctrlProp" Target="../ctrlProps/ctrlProp74.xml"/><Relationship Id="rId47" Type="http://schemas.openxmlformats.org/officeDocument/2006/relationships/ctrlProp" Target="../ctrlProps/ctrlProp79.xml"/><Relationship Id="rId50" Type="http://schemas.openxmlformats.org/officeDocument/2006/relationships/ctrlProp" Target="../ctrlProps/ctrlProp82.xml"/><Relationship Id="rId55" Type="http://schemas.openxmlformats.org/officeDocument/2006/relationships/ctrlProp" Target="../ctrlProps/ctrlProp87.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46" Type="http://schemas.openxmlformats.org/officeDocument/2006/relationships/ctrlProp" Target="../ctrlProps/ctrlProp78.xml"/><Relationship Id="rId59" Type="http://schemas.openxmlformats.org/officeDocument/2006/relationships/ctrlProp" Target="../ctrlProps/ctrlProp91.xml"/><Relationship Id="rId2" Type="http://schemas.openxmlformats.org/officeDocument/2006/relationships/printerSettings" Target="../printerSettings/printerSettings4.bin"/><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41" Type="http://schemas.openxmlformats.org/officeDocument/2006/relationships/ctrlProp" Target="../ctrlProps/ctrlProp73.xml"/><Relationship Id="rId54" Type="http://schemas.openxmlformats.org/officeDocument/2006/relationships/ctrlProp" Target="../ctrlProps/ctrlProp86.xml"/><Relationship Id="rId1" Type="http://schemas.openxmlformats.org/officeDocument/2006/relationships/pivotTable" Target="../pivotTables/pivotTable1.xml"/><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40" Type="http://schemas.openxmlformats.org/officeDocument/2006/relationships/ctrlProp" Target="../ctrlProps/ctrlProp72.xml"/><Relationship Id="rId45" Type="http://schemas.openxmlformats.org/officeDocument/2006/relationships/ctrlProp" Target="../ctrlProps/ctrlProp77.xml"/><Relationship Id="rId53" Type="http://schemas.openxmlformats.org/officeDocument/2006/relationships/ctrlProp" Target="../ctrlProps/ctrlProp85.xml"/><Relationship Id="rId58" Type="http://schemas.openxmlformats.org/officeDocument/2006/relationships/ctrlProp" Target="../ctrlProps/ctrlProp90.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49" Type="http://schemas.openxmlformats.org/officeDocument/2006/relationships/ctrlProp" Target="../ctrlProps/ctrlProp81.xml"/><Relationship Id="rId57" Type="http://schemas.openxmlformats.org/officeDocument/2006/relationships/ctrlProp" Target="../ctrlProps/ctrlProp89.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4" Type="http://schemas.openxmlformats.org/officeDocument/2006/relationships/ctrlProp" Target="../ctrlProps/ctrlProp76.xml"/><Relationship Id="rId52" Type="http://schemas.openxmlformats.org/officeDocument/2006/relationships/ctrlProp" Target="../ctrlProps/ctrlProp84.xml"/><Relationship Id="rId4" Type="http://schemas.openxmlformats.org/officeDocument/2006/relationships/vmlDrawing" Target="../drawings/vmlDrawing4.v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43" Type="http://schemas.openxmlformats.org/officeDocument/2006/relationships/ctrlProp" Target="../ctrlProps/ctrlProp75.xml"/><Relationship Id="rId48" Type="http://schemas.openxmlformats.org/officeDocument/2006/relationships/ctrlProp" Target="../ctrlProps/ctrlProp80.xml"/><Relationship Id="rId56" Type="http://schemas.openxmlformats.org/officeDocument/2006/relationships/ctrlProp" Target="../ctrlProps/ctrlProp88.xml"/><Relationship Id="rId8" Type="http://schemas.openxmlformats.org/officeDocument/2006/relationships/ctrlProp" Target="../ctrlProps/ctrlProp40.xml"/><Relationship Id="rId51" Type="http://schemas.openxmlformats.org/officeDocument/2006/relationships/ctrlProp" Target="../ctrlProps/ctrlProp83.xm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5.xml"/><Relationship Id="rId3" Type="http://schemas.openxmlformats.org/officeDocument/2006/relationships/pivotTable" Target="../pivotTables/pivotTable4.xml"/><Relationship Id="rId7" Type="http://schemas.openxmlformats.org/officeDocument/2006/relationships/vmlDrawing" Target="../drawings/vmlDrawing6.v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drawing" Target="../drawings/drawing6.xml"/><Relationship Id="rId5" Type="http://schemas.openxmlformats.org/officeDocument/2006/relationships/printerSettings" Target="../printerSettings/printerSettings6.bin"/><Relationship Id="rId10" Type="http://schemas.openxmlformats.org/officeDocument/2006/relationships/ctrlProp" Target="../ctrlProps/ctrlProp97.xml"/><Relationship Id="rId4" Type="http://schemas.openxmlformats.org/officeDocument/2006/relationships/pivotTable" Target="../pivotTables/pivotTable5.xml"/><Relationship Id="rId9" Type="http://schemas.openxmlformats.org/officeDocument/2006/relationships/ctrlProp" Target="../ctrlProps/ctrlProp9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pageSetUpPr fitToPage="1"/>
  </sheetPr>
  <dimension ref="A1:Q69"/>
  <sheetViews>
    <sheetView showGridLines="0" tabSelected="1" zoomScaleNormal="100" workbookViewId="0">
      <selection activeCell="K8" sqref="K8"/>
    </sheetView>
  </sheetViews>
  <sheetFormatPr baseColWidth="10" defaultColWidth="0" defaultRowHeight="14.4" zeroHeight="1"/>
  <cols>
    <col min="1" max="1" width="2.6640625" style="104" customWidth="1"/>
    <col min="2" max="2" width="12.44140625" style="104" customWidth="1"/>
    <col min="3" max="4" width="11.44140625" style="104" customWidth="1"/>
    <col min="5" max="5" width="2.6640625" style="104" customWidth="1"/>
    <col min="6" max="7" width="11.44140625" style="104" customWidth="1"/>
    <col min="8" max="8" width="7" style="104" customWidth="1"/>
    <col min="9" max="9" width="2.6640625" style="104" customWidth="1"/>
    <col min="10" max="10" width="11.44140625" style="104" customWidth="1"/>
    <col min="11" max="11" width="9.6640625" style="104" customWidth="1"/>
    <col min="12" max="12" width="9.44140625" style="104" customWidth="1"/>
    <col min="13" max="13" width="4.33203125" style="104" customWidth="1"/>
    <col min="14" max="14" width="2.6640625" style="104" customWidth="1"/>
    <col min="15" max="17" width="0.88671875" style="633" customWidth="1"/>
    <col min="18" max="16384" width="11.44140625" style="104" hidden="1"/>
  </cols>
  <sheetData>
    <row r="1" spans="2:15"/>
    <row r="2" spans="2:15"/>
    <row r="3" spans="2:15" ht="33">
      <c r="C3" s="819" t="str">
        <f>VLOOKUP("PREFA HWS ERHEBUNGSBOGEN",Sprachindex!A:Z,$O$6,FALSE)</f>
        <v>PREFA HWS ERHEBUNGSBOGEN</v>
      </c>
      <c r="D3" s="819"/>
      <c r="E3" s="819"/>
      <c r="F3" s="819"/>
      <c r="G3" s="819"/>
      <c r="H3" s="819"/>
      <c r="I3" s="819"/>
      <c r="J3" s="819"/>
      <c r="K3" s="819"/>
      <c r="L3" s="819"/>
      <c r="M3" s="819"/>
    </row>
    <row r="4" spans="2:15"/>
    <row r="5" spans="2:15"/>
    <row r="6" spans="2:15" ht="17.399999999999999">
      <c r="C6" s="627" t="s">
        <v>3734</v>
      </c>
      <c r="O6" s="559">
        <f>Haftungsausschluß!O6</f>
        <v>1</v>
      </c>
    </row>
    <row r="7" spans="2:15" ht="3" customHeight="1">
      <c r="C7" s="627"/>
    </row>
    <row r="8" spans="2:15" ht="18" customHeight="1">
      <c r="B8" s="104" t="s">
        <v>1052</v>
      </c>
      <c r="C8" s="821"/>
      <c r="D8" s="821"/>
      <c r="E8" s="821"/>
      <c r="F8" s="821"/>
      <c r="G8" s="821"/>
      <c r="H8" s="821"/>
    </row>
    <row r="9" spans="2:15" ht="3" customHeight="1"/>
    <row r="10" spans="2:15" ht="18" customHeight="1">
      <c r="B10" s="104" t="s">
        <v>1599</v>
      </c>
      <c r="C10" s="821"/>
      <c r="D10" s="821"/>
      <c r="E10" s="821"/>
      <c r="F10" s="821"/>
      <c r="G10" s="821"/>
      <c r="H10" s="821"/>
    </row>
    <row r="11" spans="2:15" ht="3" customHeight="1"/>
    <row r="12" spans="2:15" ht="18" customHeight="1">
      <c r="B12" s="104" t="s">
        <v>1097</v>
      </c>
      <c r="C12" s="821"/>
      <c r="D12" s="821"/>
      <c r="E12" s="821"/>
      <c r="F12" s="821"/>
      <c r="G12" s="821"/>
      <c r="H12" s="821"/>
    </row>
    <row r="13" spans="2:15" ht="3" customHeight="1"/>
    <row r="14" spans="2:15" ht="18" customHeight="1">
      <c r="B14" s="104" t="s">
        <v>3735</v>
      </c>
      <c r="C14" s="823"/>
      <c r="D14" s="823"/>
      <c r="E14" s="823"/>
      <c r="F14" s="823"/>
      <c r="G14" s="823"/>
      <c r="H14" s="823"/>
    </row>
    <row r="15" spans="2:15" ht="3" customHeight="1"/>
    <row r="16" spans="2:15" ht="18" customHeight="1">
      <c r="B16" s="104" t="s">
        <v>3736</v>
      </c>
      <c r="C16" s="821"/>
      <c r="D16" s="821"/>
      <c r="E16" s="821"/>
      <c r="F16" s="821"/>
      <c r="G16" s="821"/>
      <c r="H16" s="821"/>
    </row>
    <row r="17" spans="2:16" ht="3" customHeight="1"/>
    <row r="18" spans="2:16" ht="18" customHeight="1">
      <c r="B18" s="104" t="s">
        <v>927</v>
      </c>
      <c r="C18" s="821"/>
      <c r="D18" s="821"/>
      <c r="E18" s="821"/>
      <c r="F18" s="821"/>
      <c r="G18" s="821"/>
      <c r="H18" s="821"/>
    </row>
    <row r="19" spans="2:16"/>
    <row r="20" spans="2:16">
      <c r="B20" s="628" t="s">
        <v>3737</v>
      </c>
      <c r="F20" s="822" t="s">
        <v>3746</v>
      </c>
      <c r="G20" s="822"/>
      <c r="H20" s="822"/>
      <c r="J20" s="822" t="s">
        <v>3750</v>
      </c>
      <c r="K20" s="822"/>
      <c r="L20" s="822"/>
      <c r="M20" s="822"/>
    </row>
    <row r="21" spans="2:16" ht="18" customHeight="1">
      <c r="C21" s="619"/>
      <c r="D21" s="104" t="s">
        <v>56</v>
      </c>
      <c r="O21" s="559">
        <v>1</v>
      </c>
      <c r="P21" s="559">
        <v>2</v>
      </c>
    </row>
    <row r="22" spans="2:16"/>
    <row r="23" spans="2:16">
      <c r="B23" s="628" t="s">
        <v>3738</v>
      </c>
    </row>
    <row r="24" spans="2:16" ht="18" customHeight="1">
      <c r="C24" s="619"/>
      <c r="D24" s="104" t="s">
        <v>56</v>
      </c>
    </row>
    <row r="25" spans="2:16">
      <c r="J25" s="629" t="s">
        <v>3751</v>
      </c>
      <c r="L25" s="139" t="s">
        <v>1788</v>
      </c>
      <c r="M25" s="629"/>
    </row>
    <row r="26" spans="2:16">
      <c r="C26" s="630" t="s">
        <v>3739</v>
      </c>
      <c r="G26" s="629" t="s">
        <v>3747</v>
      </c>
      <c r="J26" s="820" t="s">
        <v>906</v>
      </c>
      <c r="K26" s="820"/>
      <c r="L26" s="820"/>
      <c r="M26" s="820"/>
    </row>
    <row r="27" spans="2:16"/>
    <row r="28" spans="2:16">
      <c r="J28" s="822" t="s">
        <v>3752</v>
      </c>
      <c r="K28" s="822"/>
      <c r="L28" s="822"/>
      <c r="M28" s="822"/>
    </row>
    <row r="29" spans="2:16">
      <c r="P29" s="559">
        <v>1</v>
      </c>
    </row>
    <row r="30" spans="2:16" ht="18" customHeight="1">
      <c r="J30" s="631" t="s">
        <v>3760</v>
      </c>
      <c r="L30" s="632" t="s">
        <v>3761</v>
      </c>
    </row>
    <row r="31" spans="2:16">
      <c r="B31" s="628" t="s">
        <v>3740</v>
      </c>
      <c r="C31" s="619"/>
      <c r="D31" s="104" t="s">
        <v>66</v>
      </c>
      <c r="L31" s="632"/>
    </row>
    <row r="32" spans="2:16">
      <c r="B32" s="628"/>
    </row>
    <row r="33" spans="1:16"/>
    <row r="34" spans="1:16">
      <c r="B34" s="628" t="s">
        <v>3741</v>
      </c>
      <c r="G34" s="629" t="s">
        <v>3749</v>
      </c>
    </row>
    <row r="35" spans="1:16">
      <c r="B35" s="629" t="s">
        <v>3742</v>
      </c>
      <c r="O35" s="559" t="b">
        <v>0</v>
      </c>
    </row>
    <row r="36" spans="1:16">
      <c r="A36" s="633"/>
    </row>
    <row r="37" spans="1:16">
      <c r="A37" s="633"/>
      <c r="B37" s="634" t="s">
        <v>709</v>
      </c>
      <c r="C37" s="821"/>
      <c r="D37" s="821"/>
      <c r="L37" s="813"/>
      <c r="M37" s="813"/>
    </row>
    <row r="38" spans="1:16">
      <c r="A38" s="633"/>
      <c r="K38" s="813" t="s">
        <v>3753</v>
      </c>
      <c r="L38" s="814"/>
      <c r="M38" s="814"/>
    </row>
    <row r="39" spans="1:16" ht="18" customHeight="1">
      <c r="B39" s="635" t="s">
        <v>3743</v>
      </c>
      <c r="K39" s="814" t="s">
        <v>3754</v>
      </c>
      <c r="O39" s="559" t="b">
        <v>0</v>
      </c>
      <c r="P39" s="559" t="b">
        <v>0</v>
      </c>
    </row>
    <row r="40" spans="1:16">
      <c r="B40" s="635" t="s">
        <v>3854</v>
      </c>
      <c r="L40" s="814"/>
      <c r="M40" s="814"/>
      <c r="O40" s="559" t="b">
        <v>0</v>
      </c>
    </row>
    <row r="41" spans="1:16">
      <c r="B41" s="635" t="s">
        <v>3745</v>
      </c>
      <c r="J41" s="629"/>
      <c r="O41" s="559" t="b">
        <v>0</v>
      </c>
    </row>
    <row r="42" spans="1:16">
      <c r="B42" s="635" t="s">
        <v>3744</v>
      </c>
      <c r="G42" s="629" t="s">
        <v>3748</v>
      </c>
      <c r="O42" s="559" t="b">
        <v>0</v>
      </c>
    </row>
    <row r="43" spans="1:16">
      <c r="K43" s="814" t="s">
        <v>3755</v>
      </c>
    </row>
    <row r="44" spans="1:16"/>
    <row r="45" spans="1:16"/>
    <row r="46" spans="1:16" ht="15" customHeight="1">
      <c r="B46" s="827" t="s">
        <v>4370</v>
      </c>
      <c r="C46" s="827"/>
      <c r="D46" s="827"/>
      <c r="E46" s="827"/>
      <c r="F46" s="827"/>
      <c r="G46" s="827"/>
      <c r="H46" s="827"/>
      <c r="K46" s="814" t="s">
        <v>4365</v>
      </c>
      <c r="P46" s="559" t="b">
        <v>0</v>
      </c>
    </row>
    <row r="47" spans="1:16">
      <c r="B47" s="827"/>
      <c r="C47" s="827"/>
      <c r="D47" s="827"/>
      <c r="E47" s="827"/>
      <c r="F47" s="827"/>
      <c r="G47" s="827"/>
      <c r="H47" s="827"/>
      <c r="P47" s="559" t="b">
        <v>1</v>
      </c>
    </row>
    <row r="48" spans="1:16">
      <c r="B48" s="827"/>
      <c r="C48" s="827"/>
      <c r="D48" s="827"/>
      <c r="E48" s="827"/>
      <c r="F48" s="827"/>
      <c r="G48" s="827"/>
      <c r="H48" s="827"/>
    </row>
    <row r="49" spans="2:16">
      <c r="B49" s="827"/>
      <c r="C49" s="827"/>
      <c r="D49" s="827"/>
      <c r="E49" s="827"/>
      <c r="F49" s="827"/>
      <c r="G49" s="827"/>
      <c r="H49" s="827"/>
      <c r="J49" s="822" t="s">
        <v>3756</v>
      </c>
      <c r="K49" s="822"/>
      <c r="L49" s="822"/>
      <c r="M49" s="822"/>
    </row>
    <row r="50" spans="2:16">
      <c r="B50" s="827"/>
      <c r="C50" s="827"/>
      <c r="D50" s="827"/>
      <c r="E50" s="827"/>
      <c r="F50" s="827"/>
      <c r="G50" s="827"/>
      <c r="H50" s="827"/>
      <c r="J50" s="104" t="s">
        <v>3757</v>
      </c>
    </row>
    <row r="51" spans="2:16">
      <c r="B51" s="827"/>
      <c r="C51" s="827"/>
      <c r="D51" s="827"/>
      <c r="E51" s="827"/>
      <c r="F51" s="827"/>
      <c r="G51" s="827"/>
      <c r="H51" s="827"/>
      <c r="J51" s="104" t="s">
        <v>3758</v>
      </c>
    </row>
    <row r="52" spans="2:16">
      <c r="B52" s="827"/>
      <c r="C52" s="827"/>
      <c r="D52" s="827"/>
      <c r="E52" s="827"/>
      <c r="F52" s="827"/>
      <c r="G52" s="827"/>
      <c r="H52" s="827"/>
    </row>
    <row r="53" spans="2:16">
      <c r="B53" s="827"/>
      <c r="C53" s="827"/>
      <c r="D53" s="827"/>
      <c r="E53" s="827"/>
      <c r="F53" s="827"/>
      <c r="G53" s="827"/>
      <c r="H53" s="827"/>
      <c r="J53" s="104" t="str">
        <f>VLOOKUP("zusätzlicher Randabstand:",Sprachindex!$A:$Z,Haftungsausschluß!$O$6,FALSE)</f>
        <v>zusätzlicher Randabstand:</v>
      </c>
    </row>
    <row r="54" spans="2:16">
      <c r="B54" s="827"/>
      <c r="C54" s="827"/>
      <c r="D54" s="827"/>
      <c r="E54" s="827"/>
      <c r="F54" s="827"/>
      <c r="G54" s="827"/>
      <c r="H54" s="827"/>
      <c r="J54" s="619"/>
      <c r="K54" s="104" t="s">
        <v>56</v>
      </c>
      <c r="P54" s="559" t="b">
        <v>0</v>
      </c>
    </row>
    <row r="55" spans="2:16" s="104" customFormat="1">
      <c r="B55" s="827"/>
      <c r="C55" s="827"/>
      <c r="D55" s="827"/>
      <c r="E55" s="827"/>
      <c r="F55" s="827"/>
      <c r="G55" s="827"/>
      <c r="H55" s="827"/>
      <c r="O55" s="633"/>
      <c r="P55" s="633"/>
    </row>
    <row r="56" spans="2:16" s="104" customFormat="1">
      <c r="B56" s="703"/>
      <c r="C56" s="703"/>
      <c r="D56" s="703"/>
      <c r="E56" s="703"/>
      <c r="F56" s="703"/>
      <c r="G56" s="703"/>
      <c r="H56" s="703"/>
      <c r="O56" s="633"/>
      <c r="P56" s="633"/>
    </row>
    <row r="57" spans="2:16" s="104" customFormat="1">
      <c r="B57" s="636" t="s">
        <v>3759</v>
      </c>
      <c r="C57" s="637"/>
      <c r="F57" s="637"/>
      <c r="G57" s="637"/>
      <c r="H57" s="637"/>
      <c r="O57" s="633"/>
      <c r="P57" s="633"/>
    </row>
    <row r="58" spans="2:16" s="104" customFormat="1" ht="3" customHeight="1">
      <c r="O58" s="633"/>
      <c r="P58" s="633"/>
    </row>
    <row r="59" spans="2:16" s="104" customFormat="1">
      <c r="B59" s="637"/>
      <c r="C59" s="826"/>
      <c r="D59" s="826"/>
      <c r="E59" s="826"/>
      <c r="F59" s="826"/>
      <c r="G59" s="826"/>
      <c r="H59" s="826"/>
      <c r="I59" s="826"/>
      <c r="J59" s="826"/>
      <c r="K59" s="826"/>
      <c r="L59" s="826"/>
      <c r="M59" s="826"/>
      <c r="O59" s="633"/>
      <c r="P59" s="633"/>
    </row>
    <row r="60" spans="2:16" s="104" customFormat="1" ht="3" customHeight="1">
      <c r="B60" s="637"/>
      <c r="O60" s="633"/>
      <c r="P60" s="633"/>
    </row>
    <row r="61" spans="2:16" s="104" customFormat="1">
      <c r="B61" s="637"/>
      <c r="C61" s="826"/>
      <c r="D61" s="826"/>
      <c r="E61" s="826"/>
      <c r="F61" s="826"/>
      <c r="G61" s="826"/>
      <c r="H61" s="826"/>
      <c r="I61" s="826"/>
      <c r="J61" s="826"/>
      <c r="K61" s="826"/>
      <c r="L61" s="826"/>
      <c r="M61" s="826"/>
      <c r="O61" s="633"/>
      <c r="P61" s="633"/>
    </row>
    <row r="62" spans="2:16" s="104" customFormat="1" ht="3" customHeight="1">
      <c r="B62" s="637"/>
      <c r="O62" s="633"/>
      <c r="P62" s="633"/>
    </row>
    <row r="63" spans="2:16" s="104" customFormat="1">
      <c r="O63" s="633"/>
      <c r="P63" s="633"/>
    </row>
    <row r="64" spans="2:16" s="104" customFormat="1">
      <c r="M64" s="818"/>
      <c r="N64" s="638"/>
      <c r="O64" s="633"/>
      <c r="P64" s="633"/>
    </row>
    <row r="65" spans="1:14" s="104" customFormat="1">
      <c r="M65" s="638"/>
      <c r="N65" s="638"/>
    </row>
    <row r="66" spans="1:14" s="104" customFormat="1" ht="16.8">
      <c r="A66" s="341" t="str">
        <f>VLOOKUP("Anwendungstechnik",Sprachindex!A:Z,$O$6,FALSE)</f>
        <v>Anwendungstechnik</v>
      </c>
      <c r="B66" s="639"/>
      <c r="C66" s="639"/>
      <c r="D66" s="639"/>
      <c r="E66" s="343" t="str">
        <f>VLOOKUP("Stand:",Sprachindex!A:Z,$O$6,FALSE)</f>
        <v>Stand:</v>
      </c>
      <c r="F66" s="824">
        <v>44684</v>
      </c>
      <c r="G66" s="824"/>
      <c r="H66" s="639"/>
      <c r="I66" s="639"/>
      <c r="J66" s="640"/>
      <c r="K66" s="343" t="str">
        <f>VLOOKUP("Version:",Sprachindex!A:Z,$O$6,FALSE)</f>
        <v>Version:</v>
      </c>
      <c r="L66" s="825" t="s">
        <v>4369</v>
      </c>
      <c r="M66" s="825"/>
      <c r="N66" s="641"/>
    </row>
    <row r="67" spans="1:14" s="104" customFormat="1" hidden="1"/>
    <row r="68" spans="1:14" s="104" customFormat="1" hidden="1"/>
    <row r="69" spans="1:14" s="104" customFormat="1"/>
  </sheetData>
  <sheetProtection selectLockedCells="1"/>
  <mergeCells count="18">
    <mergeCell ref="F66:G66"/>
    <mergeCell ref="L66:M66"/>
    <mergeCell ref="C59:M59"/>
    <mergeCell ref="C61:M61"/>
    <mergeCell ref="C37:D37"/>
    <mergeCell ref="J49:M49"/>
    <mergeCell ref="B46:H55"/>
    <mergeCell ref="C3:M3"/>
    <mergeCell ref="J26:M26"/>
    <mergeCell ref="C18:H18"/>
    <mergeCell ref="J20:M20"/>
    <mergeCell ref="J28:M28"/>
    <mergeCell ref="C8:H8"/>
    <mergeCell ref="C10:H10"/>
    <mergeCell ref="C12:H12"/>
    <mergeCell ref="C14:H14"/>
    <mergeCell ref="C16:H16"/>
    <mergeCell ref="F20:H20"/>
  </mergeCells>
  <dataValidations count="2">
    <dataValidation type="whole" allowBlank="1" showInputMessage="1" showErrorMessage="1" error="150 - 6000 mm" sqref="C21" xr:uid="{00000000-0002-0000-0000-000000000000}">
      <formula1>150</formula1>
      <formula2>6000</formula2>
    </dataValidation>
    <dataValidation type="whole" allowBlank="1" showInputMessage="1" showErrorMessage="1" sqref="J54" xr:uid="{00000000-0002-0000-0000-000001000000}">
      <formula1>1</formula1>
      <formula2>6000</formula2>
    </dataValidation>
  </dataValidations>
  <pageMargins left="0.39370078740157483" right="0.39370078740157483" top="0.39370078740157483" bottom="0.49" header="0.31496062992125984" footer="0.16"/>
  <pageSetup paperSize="9" scale="84" orientation="portrait" r:id="rId1"/>
  <drawing r:id="rId2"/>
  <legacyDrawing r:id="rId3"/>
  <oleObjects>
    <mc:AlternateContent xmlns:mc="http://schemas.openxmlformats.org/markup-compatibility/2006">
      <mc:Choice Requires="x14">
        <oleObject progId="CorelDraw.Graphic.17" shapeId="133204" r:id="rId4">
          <objectPr defaultSize="0" autoPict="0" r:id="rId5">
            <anchor moveWithCells="1">
              <from>
                <xdr:col>11</xdr:col>
                <xdr:colOff>38100</xdr:colOff>
                <xdr:row>20</xdr:row>
                <xdr:rowOff>106680</xdr:rowOff>
              </from>
              <to>
                <xdr:col>11</xdr:col>
                <xdr:colOff>601980</xdr:colOff>
                <xdr:row>23</xdr:row>
                <xdr:rowOff>106680</xdr:rowOff>
              </to>
            </anchor>
          </objectPr>
        </oleObject>
      </mc:Choice>
      <mc:Fallback>
        <oleObject progId="CorelDraw.Graphic.17" shapeId="133204" r:id="rId4"/>
      </mc:Fallback>
    </mc:AlternateContent>
    <mc:AlternateContent xmlns:mc="http://schemas.openxmlformats.org/markup-compatibility/2006">
      <mc:Choice Requires="x14">
        <oleObject progId="CorelDraw.Graphic.17" shapeId="133205" r:id="rId6">
          <objectPr defaultSize="0" autoPict="0" r:id="rId7">
            <anchor moveWithCells="1">
              <from>
                <xdr:col>9</xdr:col>
                <xdr:colOff>251460</xdr:colOff>
                <xdr:row>20</xdr:row>
                <xdr:rowOff>68580</xdr:rowOff>
              </from>
              <to>
                <xdr:col>9</xdr:col>
                <xdr:colOff>640080</xdr:colOff>
                <xdr:row>23</xdr:row>
                <xdr:rowOff>83820</xdr:rowOff>
              </to>
            </anchor>
          </objectPr>
        </oleObject>
      </mc:Choice>
      <mc:Fallback>
        <oleObject progId="CorelDraw.Graphic.17" shapeId="133205" r:id="rId6"/>
      </mc:Fallback>
    </mc:AlternateContent>
    <mc:AlternateContent xmlns:mc="http://schemas.openxmlformats.org/markup-compatibility/2006">
      <mc:Choice Requires="x14">
        <oleObject progId="CorelDraw.Graphic.17" shapeId="133206" r:id="rId8">
          <objectPr defaultSize="0" autoPict="0" r:id="rId9">
            <anchor moveWithCells="1">
              <from>
                <xdr:col>9</xdr:col>
                <xdr:colOff>220980</xdr:colOff>
                <xdr:row>30</xdr:row>
                <xdr:rowOff>38100</xdr:rowOff>
              </from>
              <to>
                <xdr:col>10</xdr:col>
                <xdr:colOff>83820</xdr:colOff>
                <xdr:row>33</xdr:row>
                <xdr:rowOff>175260</xdr:rowOff>
              </to>
            </anchor>
          </objectPr>
        </oleObject>
      </mc:Choice>
      <mc:Fallback>
        <oleObject progId="CorelDraw.Graphic.17" shapeId="133206" r:id="rId8"/>
      </mc:Fallback>
    </mc:AlternateContent>
    <mc:AlternateContent xmlns:mc="http://schemas.openxmlformats.org/markup-compatibility/2006">
      <mc:Choice Requires="x14">
        <oleObject progId="CorelDraw.Graphic.17" shapeId="133207" r:id="rId10">
          <objectPr defaultSize="0" autoPict="0" r:id="rId11">
            <anchor moveWithCells="1">
              <from>
                <xdr:col>11</xdr:col>
                <xdr:colOff>38100</xdr:colOff>
                <xdr:row>30</xdr:row>
                <xdr:rowOff>38100</xdr:rowOff>
              </from>
              <to>
                <xdr:col>11</xdr:col>
                <xdr:colOff>571500</xdr:colOff>
                <xdr:row>33</xdr:row>
                <xdr:rowOff>182880</xdr:rowOff>
              </to>
            </anchor>
          </objectPr>
        </oleObject>
      </mc:Choice>
      <mc:Fallback>
        <oleObject progId="CorelDraw.Graphic.17" shapeId="133207" r:id="rId10"/>
      </mc:Fallback>
    </mc:AlternateContent>
    <mc:AlternateContent xmlns:mc="http://schemas.openxmlformats.org/markup-compatibility/2006">
      <mc:Choice Requires="x14">
        <oleObject progId="CorelDraw.Graphic.17" shapeId="133210" r:id="rId12">
          <objectPr defaultSize="0" autoPict="0" r:id="rId13">
            <anchor moveWithCells="1">
              <from>
                <xdr:col>9</xdr:col>
                <xdr:colOff>7620</xdr:colOff>
                <xdr:row>35</xdr:row>
                <xdr:rowOff>7620</xdr:rowOff>
              </from>
              <to>
                <xdr:col>9</xdr:col>
                <xdr:colOff>518160</xdr:colOff>
                <xdr:row>38</xdr:row>
                <xdr:rowOff>190500</xdr:rowOff>
              </to>
            </anchor>
          </objectPr>
        </oleObject>
      </mc:Choice>
      <mc:Fallback>
        <oleObject progId="CorelDraw.Graphic.17" shapeId="133210" r:id="rId12"/>
      </mc:Fallback>
    </mc:AlternateContent>
    <mc:AlternateContent xmlns:mc="http://schemas.openxmlformats.org/markup-compatibility/2006">
      <mc:Choice Requires="x14">
        <oleObject progId="CorelDraw.Graphic.17" shapeId="133213" r:id="rId14">
          <objectPr defaultSize="0" autoPict="0" r:id="rId15">
            <anchor moveWithCells="1">
              <from>
                <xdr:col>9</xdr:col>
                <xdr:colOff>7620</xdr:colOff>
                <xdr:row>40</xdr:row>
                <xdr:rowOff>106680</xdr:rowOff>
              </from>
              <to>
                <xdr:col>9</xdr:col>
                <xdr:colOff>518160</xdr:colOff>
                <xdr:row>42</xdr:row>
                <xdr:rowOff>160020</xdr:rowOff>
              </to>
            </anchor>
          </objectPr>
        </oleObject>
      </mc:Choice>
      <mc:Fallback>
        <oleObject progId="CorelDraw.Graphic.17" shapeId="133213" r:id="rId14"/>
      </mc:Fallback>
    </mc:AlternateContent>
  </oleObjects>
  <mc:AlternateContent xmlns:mc="http://schemas.openxmlformats.org/markup-compatibility/2006">
    <mc:Choice Requires="x14">
      <controls>
        <mc:AlternateContent xmlns:mc="http://schemas.openxmlformats.org/markup-compatibility/2006">
          <mc:Choice Requires="x14">
            <control shapeId="133129" r:id="rId16" name="Check Box 9">
              <controlPr defaultSize="0" autoFill="0" autoLine="0" autoPict="0">
                <anchor moveWithCells="1">
                  <from>
                    <xdr:col>1</xdr:col>
                    <xdr:colOff>0</xdr:colOff>
                    <xdr:row>33</xdr:row>
                    <xdr:rowOff>175260</xdr:rowOff>
                  </from>
                  <to>
                    <xdr:col>1</xdr:col>
                    <xdr:colOff>304800</xdr:colOff>
                    <xdr:row>35</xdr:row>
                    <xdr:rowOff>45720</xdr:rowOff>
                  </to>
                </anchor>
              </controlPr>
            </control>
          </mc:Choice>
        </mc:AlternateContent>
        <mc:AlternateContent xmlns:mc="http://schemas.openxmlformats.org/markup-compatibility/2006">
          <mc:Choice Requires="x14">
            <control shapeId="133133" r:id="rId17" name="Check Box 13">
              <controlPr defaultSize="0" autoFill="0" autoLine="0" autoPict="0">
                <anchor moveWithCells="1">
                  <from>
                    <xdr:col>1</xdr:col>
                    <xdr:colOff>152400</xdr:colOff>
                    <xdr:row>40</xdr:row>
                    <xdr:rowOff>30480</xdr:rowOff>
                  </from>
                  <to>
                    <xdr:col>1</xdr:col>
                    <xdr:colOff>342900</xdr:colOff>
                    <xdr:row>40</xdr:row>
                    <xdr:rowOff>160020</xdr:rowOff>
                  </to>
                </anchor>
              </controlPr>
            </control>
          </mc:Choice>
        </mc:AlternateContent>
        <mc:AlternateContent xmlns:mc="http://schemas.openxmlformats.org/markup-compatibility/2006">
          <mc:Choice Requires="x14">
            <control shapeId="133134" r:id="rId18" name="Check Box 14">
              <controlPr defaultSize="0" autoFill="0" autoLine="0" autoPict="0">
                <anchor moveWithCells="1">
                  <from>
                    <xdr:col>1</xdr:col>
                    <xdr:colOff>152400</xdr:colOff>
                    <xdr:row>39</xdr:row>
                    <xdr:rowOff>30480</xdr:rowOff>
                  </from>
                  <to>
                    <xdr:col>1</xdr:col>
                    <xdr:colOff>342900</xdr:colOff>
                    <xdr:row>39</xdr:row>
                    <xdr:rowOff>160020</xdr:rowOff>
                  </to>
                </anchor>
              </controlPr>
            </control>
          </mc:Choice>
        </mc:AlternateContent>
        <mc:AlternateContent xmlns:mc="http://schemas.openxmlformats.org/markup-compatibility/2006">
          <mc:Choice Requires="x14">
            <control shapeId="133135" r:id="rId19" name="Check Box 15">
              <controlPr defaultSize="0" autoFill="0" autoLine="0" autoPict="0">
                <anchor moveWithCells="1">
                  <from>
                    <xdr:col>1</xdr:col>
                    <xdr:colOff>152400</xdr:colOff>
                    <xdr:row>38</xdr:row>
                    <xdr:rowOff>68580</xdr:rowOff>
                  </from>
                  <to>
                    <xdr:col>1</xdr:col>
                    <xdr:colOff>342900</xdr:colOff>
                    <xdr:row>38</xdr:row>
                    <xdr:rowOff>198120</xdr:rowOff>
                  </to>
                </anchor>
              </controlPr>
            </control>
          </mc:Choice>
        </mc:AlternateContent>
        <mc:AlternateContent xmlns:mc="http://schemas.openxmlformats.org/markup-compatibility/2006">
          <mc:Choice Requires="x14">
            <control shapeId="133136" r:id="rId20" name="Check Box 16">
              <controlPr defaultSize="0" autoFill="0" autoLine="0" autoPict="0">
                <anchor moveWithCells="1">
                  <from>
                    <xdr:col>1</xdr:col>
                    <xdr:colOff>152400</xdr:colOff>
                    <xdr:row>41</xdr:row>
                    <xdr:rowOff>30480</xdr:rowOff>
                  </from>
                  <to>
                    <xdr:col>1</xdr:col>
                    <xdr:colOff>342900</xdr:colOff>
                    <xdr:row>41</xdr:row>
                    <xdr:rowOff>160020</xdr:rowOff>
                  </to>
                </anchor>
              </controlPr>
            </control>
          </mc:Choice>
        </mc:AlternateContent>
        <mc:AlternateContent xmlns:mc="http://schemas.openxmlformats.org/markup-compatibility/2006">
          <mc:Choice Requires="x14">
            <control shapeId="133211" r:id="rId21" name="Check Box 91">
              <controlPr defaultSize="0" autoFill="0" autoLine="0" autoPict="0">
                <anchor moveWithCells="1">
                  <from>
                    <xdr:col>9</xdr:col>
                    <xdr:colOff>563880</xdr:colOff>
                    <xdr:row>37</xdr:row>
                    <xdr:rowOff>38100</xdr:rowOff>
                  </from>
                  <to>
                    <xdr:col>9</xdr:col>
                    <xdr:colOff>754380</xdr:colOff>
                    <xdr:row>37</xdr:row>
                    <xdr:rowOff>175260</xdr:rowOff>
                  </to>
                </anchor>
              </controlPr>
            </control>
          </mc:Choice>
        </mc:AlternateContent>
        <mc:AlternateContent xmlns:mc="http://schemas.openxmlformats.org/markup-compatibility/2006">
          <mc:Choice Requires="x14">
            <control shapeId="133214" r:id="rId22" name="Check Box 94">
              <controlPr defaultSize="0" autoFill="0" autoLine="0" autoPict="0">
                <anchor moveWithCells="1">
                  <from>
                    <xdr:col>9</xdr:col>
                    <xdr:colOff>563880</xdr:colOff>
                    <xdr:row>42</xdr:row>
                    <xdr:rowOff>38100</xdr:rowOff>
                  </from>
                  <to>
                    <xdr:col>9</xdr:col>
                    <xdr:colOff>754380</xdr:colOff>
                    <xdr:row>42</xdr:row>
                    <xdr:rowOff>175260</xdr:rowOff>
                  </to>
                </anchor>
              </controlPr>
            </control>
          </mc:Choice>
        </mc:AlternateContent>
        <mc:AlternateContent xmlns:mc="http://schemas.openxmlformats.org/markup-compatibility/2006">
          <mc:Choice Requires="x14">
            <control shapeId="133216" r:id="rId23" name="Check Box 96">
              <controlPr defaultSize="0" autoFill="0" autoLine="0" autoPict="0">
                <anchor moveWithCells="1">
                  <from>
                    <xdr:col>8</xdr:col>
                    <xdr:colOff>312420</xdr:colOff>
                    <xdr:row>48</xdr:row>
                    <xdr:rowOff>38100</xdr:rowOff>
                  </from>
                  <to>
                    <xdr:col>9</xdr:col>
                    <xdr:colOff>190500</xdr:colOff>
                    <xdr:row>48</xdr:row>
                    <xdr:rowOff>175260</xdr:rowOff>
                  </to>
                </anchor>
              </controlPr>
            </control>
          </mc:Choice>
        </mc:AlternateContent>
        <mc:AlternateContent xmlns:mc="http://schemas.openxmlformats.org/markup-compatibility/2006">
          <mc:Choice Requires="x14">
            <control shapeId="133217" r:id="rId24" name="Group Box 97">
              <controlPr defaultSize="0" print="0" autoFill="0" autoPict="0">
                <anchor moveWithCells="1">
                  <from>
                    <xdr:col>4</xdr:col>
                    <xdr:colOff>106680</xdr:colOff>
                    <xdr:row>19</xdr:row>
                    <xdr:rowOff>7620</xdr:rowOff>
                  </from>
                  <to>
                    <xdr:col>8</xdr:col>
                    <xdr:colOff>106680</xdr:colOff>
                    <xdr:row>43</xdr:row>
                    <xdr:rowOff>99060</xdr:rowOff>
                  </to>
                </anchor>
              </controlPr>
            </control>
          </mc:Choice>
        </mc:AlternateContent>
        <mc:AlternateContent xmlns:mc="http://schemas.openxmlformats.org/markup-compatibility/2006">
          <mc:Choice Requires="x14">
            <control shapeId="133218" r:id="rId25" name="Group Box 98">
              <controlPr defaultSize="0" print="0" autoFill="0" autoPict="0">
                <anchor moveWithCells="1">
                  <from>
                    <xdr:col>8</xdr:col>
                    <xdr:colOff>99060</xdr:colOff>
                    <xdr:row>19</xdr:row>
                    <xdr:rowOff>7620</xdr:rowOff>
                  </from>
                  <to>
                    <xdr:col>13</xdr:col>
                    <xdr:colOff>114300</xdr:colOff>
                    <xdr:row>26</xdr:row>
                    <xdr:rowOff>106680</xdr:rowOff>
                  </to>
                </anchor>
              </controlPr>
            </control>
          </mc:Choice>
        </mc:AlternateContent>
        <mc:AlternateContent xmlns:mc="http://schemas.openxmlformats.org/markup-compatibility/2006">
          <mc:Choice Requires="x14">
            <control shapeId="133219" r:id="rId26" name="Group Box 99">
              <controlPr defaultSize="0" print="0" autoFill="0" autoPict="0">
                <anchor moveWithCells="1">
                  <from>
                    <xdr:col>8</xdr:col>
                    <xdr:colOff>99060</xdr:colOff>
                    <xdr:row>26</xdr:row>
                    <xdr:rowOff>114300</xdr:rowOff>
                  </from>
                  <to>
                    <xdr:col>13</xdr:col>
                    <xdr:colOff>114300</xdr:colOff>
                    <xdr:row>34</xdr:row>
                    <xdr:rowOff>99060</xdr:rowOff>
                  </to>
                </anchor>
              </controlPr>
            </control>
          </mc:Choice>
        </mc:AlternateContent>
        <mc:AlternateContent xmlns:mc="http://schemas.openxmlformats.org/markup-compatibility/2006">
          <mc:Choice Requires="x14">
            <control shapeId="133220" r:id="rId27" name="Option Button 100">
              <controlPr defaultSize="0" autoFill="0" autoLine="0" autoPict="0">
                <anchor moveWithCells="1">
                  <from>
                    <xdr:col>5</xdr:col>
                    <xdr:colOff>731520</xdr:colOff>
                    <xdr:row>25</xdr:row>
                    <xdr:rowOff>0</xdr:rowOff>
                  </from>
                  <to>
                    <xdr:col>7</xdr:col>
                    <xdr:colOff>411480</xdr:colOff>
                    <xdr:row>26</xdr:row>
                    <xdr:rowOff>22860</xdr:rowOff>
                  </to>
                </anchor>
              </controlPr>
            </control>
          </mc:Choice>
        </mc:AlternateContent>
        <mc:AlternateContent xmlns:mc="http://schemas.openxmlformats.org/markup-compatibility/2006">
          <mc:Choice Requires="x14">
            <control shapeId="133221" r:id="rId28" name="Option Button 101">
              <controlPr defaultSize="0" autoFill="0" autoLine="0" autoPict="0">
                <anchor moveWithCells="1">
                  <from>
                    <xdr:col>5</xdr:col>
                    <xdr:colOff>731520</xdr:colOff>
                    <xdr:row>33</xdr:row>
                    <xdr:rowOff>0</xdr:rowOff>
                  </from>
                  <to>
                    <xdr:col>7</xdr:col>
                    <xdr:colOff>411480</xdr:colOff>
                    <xdr:row>34</xdr:row>
                    <xdr:rowOff>22860</xdr:rowOff>
                  </to>
                </anchor>
              </controlPr>
            </control>
          </mc:Choice>
        </mc:AlternateContent>
        <mc:AlternateContent xmlns:mc="http://schemas.openxmlformats.org/markup-compatibility/2006">
          <mc:Choice Requires="x14">
            <control shapeId="133222" r:id="rId29" name="Option Button 102">
              <controlPr defaultSize="0" autoFill="0" autoLine="0" autoPict="0">
                <anchor moveWithCells="1">
                  <from>
                    <xdr:col>5</xdr:col>
                    <xdr:colOff>731520</xdr:colOff>
                    <xdr:row>41</xdr:row>
                    <xdr:rowOff>0</xdr:rowOff>
                  </from>
                  <to>
                    <xdr:col>7</xdr:col>
                    <xdr:colOff>411480</xdr:colOff>
                    <xdr:row>42</xdr:row>
                    <xdr:rowOff>22860</xdr:rowOff>
                  </to>
                </anchor>
              </controlPr>
            </control>
          </mc:Choice>
        </mc:AlternateContent>
        <mc:AlternateContent xmlns:mc="http://schemas.openxmlformats.org/markup-compatibility/2006">
          <mc:Choice Requires="x14">
            <control shapeId="133223" r:id="rId30" name="Option Button 103">
              <controlPr defaultSize="0" autoFill="0" autoLine="0" autoPict="0">
                <anchor moveWithCells="1">
                  <from>
                    <xdr:col>8</xdr:col>
                    <xdr:colOff>175260</xdr:colOff>
                    <xdr:row>24</xdr:row>
                    <xdr:rowOff>22860</xdr:rowOff>
                  </from>
                  <to>
                    <xdr:col>9</xdr:col>
                    <xdr:colOff>754380</xdr:colOff>
                    <xdr:row>25</xdr:row>
                    <xdr:rowOff>22860</xdr:rowOff>
                  </to>
                </anchor>
              </controlPr>
            </control>
          </mc:Choice>
        </mc:AlternateContent>
        <mc:AlternateContent xmlns:mc="http://schemas.openxmlformats.org/markup-compatibility/2006">
          <mc:Choice Requires="x14">
            <control shapeId="133224" r:id="rId31" name="Option Button 104">
              <controlPr defaultSize="0" autoFill="0" autoLine="0" autoPict="0">
                <anchor moveWithCells="1">
                  <from>
                    <xdr:col>10</xdr:col>
                    <xdr:colOff>220980</xdr:colOff>
                    <xdr:row>24</xdr:row>
                    <xdr:rowOff>22860</xdr:rowOff>
                  </from>
                  <to>
                    <xdr:col>13</xdr:col>
                    <xdr:colOff>30480</xdr:colOff>
                    <xdr:row>25</xdr:row>
                    <xdr:rowOff>30480</xdr:rowOff>
                  </to>
                </anchor>
              </controlPr>
            </control>
          </mc:Choice>
        </mc:AlternateContent>
        <mc:AlternateContent xmlns:mc="http://schemas.openxmlformats.org/markup-compatibility/2006">
          <mc:Choice Requires="x14">
            <control shapeId="133225" r:id="rId32" name="Option Button 105">
              <controlPr defaultSize="0" autoFill="0" autoLine="0" autoPict="0">
                <anchor moveWithCells="1">
                  <from>
                    <xdr:col>8</xdr:col>
                    <xdr:colOff>175260</xdr:colOff>
                    <xdr:row>29</xdr:row>
                    <xdr:rowOff>7620</xdr:rowOff>
                  </from>
                  <to>
                    <xdr:col>9</xdr:col>
                    <xdr:colOff>754380</xdr:colOff>
                    <xdr:row>29</xdr:row>
                    <xdr:rowOff>198120</xdr:rowOff>
                  </to>
                </anchor>
              </controlPr>
            </control>
          </mc:Choice>
        </mc:AlternateContent>
        <mc:AlternateContent xmlns:mc="http://schemas.openxmlformats.org/markup-compatibility/2006">
          <mc:Choice Requires="x14">
            <control shapeId="133226" r:id="rId33" name="Option Button 106">
              <controlPr defaultSize="0" autoFill="0" autoLine="0" autoPict="0">
                <anchor moveWithCells="1">
                  <from>
                    <xdr:col>10</xdr:col>
                    <xdr:colOff>289560</xdr:colOff>
                    <xdr:row>29</xdr:row>
                    <xdr:rowOff>7620</xdr:rowOff>
                  </from>
                  <to>
                    <xdr:col>11</xdr:col>
                    <xdr:colOff>403860</xdr:colOff>
                    <xdr:row>29</xdr:row>
                    <xdr:rowOff>198120</xdr:rowOff>
                  </to>
                </anchor>
              </controlPr>
            </control>
          </mc:Choice>
        </mc:AlternateContent>
        <mc:AlternateContent xmlns:mc="http://schemas.openxmlformats.org/markup-compatibility/2006">
          <mc:Choice Requires="x14">
            <control shapeId="133227" r:id="rId34" name="Option Button 107">
              <controlPr defaultSize="0" autoFill="0" autoLine="0" autoPict="0">
                <anchor moveWithCells="1">
                  <from>
                    <xdr:col>9</xdr:col>
                    <xdr:colOff>518160</xdr:colOff>
                    <xdr:row>25</xdr:row>
                    <xdr:rowOff>22860</xdr:rowOff>
                  </from>
                  <to>
                    <xdr:col>10</xdr:col>
                    <xdr:colOff>518160</xdr:colOff>
                    <xdr:row>26</xdr:row>
                    <xdr:rowOff>22860</xdr:rowOff>
                  </to>
                </anchor>
              </controlPr>
            </control>
          </mc:Choice>
        </mc:AlternateContent>
        <mc:AlternateContent xmlns:mc="http://schemas.openxmlformats.org/markup-compatibility/2006">
          <mc:Choice Requires="x14">
            <control shapeId="133228" r:id="rId35" name="Check Box 108">
              <controlPr defaultSize="0" autoFill="0" autoLine="0" autoPict="0">
                <anchor moveWithCells="1">
                  <from>
                    <xdr:col>9</xdr:col>
                    <xdr:colOff>563880</xdr:colOff>
                    <xdr:row>45</xdr:row>
                    <xdr:rowOff>38100</xdr:rowOff>
                  </from>
                  <to>
                    <xdr:col>9</xdr:col>
                    <xdr:colOff>754380</xdr:colOff>
                    <xdr:row>45</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
  <dimension ref="A1:O368"/>
  <sheetViews>
    <sheetView workbookViewId="0">
      <pane ySplit="1" topLeftCell="A114" activePane="bottomLeft" state="frozen"/>
      <selection activeCell="B1" sqref="B1"/>
      <selection pane="bottomLeft" activeCell="A114" sqref="A114"/>
    </sheetView>
  </sheetViews>
  <sheetFormatPr baseColWidth="10" defaultColWidth="9.109375" defaultRowHeight="14.4"/>
  <cols>
    <col min="1" max="1" width="75.6640625" style="21" customWidth="1"/>
    <col min="2" max="3" width="75.6640625" style="20" customWidth="1"/>
    <col min="4" max="5" width="75.6640625" style="21" customWidth="1"/>
    <col min="6" max="7" width="75.6640625" style="20" customWidth="1"/>
    <col min="8" max="8" width="75.6640625" style="21" customWidth="1"/>
    <col min="9" max="9" width="75.6640625" style="24" customWidth="1"/>
    <col min="10" max="11" width="75.6640625" style="21" customWidth="1"/>
    <col min="12" max="13" width="75.6640625" style="24" customWidth="1"/>
    <col min="14" max="14" width="89.109375" style="20" customWidth="1"/>
    <col min="15" max="15" width="63.5546875" customWidth="1"/>
  </cols>
  <sheetData>
    <row r="1" spans="1:15">
      <c r="A1" s="16" t="s">
        <v>14</v>
      </c>
      <c r="B1" s="17" t="s">
        <v>15</v>
      </c>
      <c r="C1" s="17" t="s">
        <v>16</v>
      </c>
      <c r="D1" s="16" t="s">
        <v>17</v>
      </c>
      <c r="E1" s="16" t="s">
        <v>18</v>
      </c>
      <c r="F1" s="17" t="s">
        <v>19</v>
      </c>
      <c r="G1" s="17" t="s">
        <v>20</v>
      </c>
      <c r="H1" s="16" t="s">
        <v>21</v>
      </c>
      <c r="I1" s="18" t="s">
        <v>22</v>
      </c>
      <c r="J1" s="17" t="s">
        <v>23</v>
      </c>
      <c r="K1" s="19" t="s">
        <v>24</v>
      </c>
      <c r="L1" s="18" t="s">
        <v>25</v>
      </c>
      <c r="M1" s="18" t="s">
        <v>26</v>
      </c>
      <c r="N1" s="17" t="s">
        <v>27</v>
      </c>
    </row>
    <row r="2" spans="1:15" s="23" customFormat="1" ht="17.399999999999999">
      <c r="A2" s="20" t="s">
        <v>28</v>
      </c>
      <c r="B2" s="20" t="s">
        <v>29</v>
      </c>
      <c r="C2" s="768" t="s">
        <v>29</v>
      </c>
      <c r="D2" s="20" t="s">
        <v>3625</v>
      </c>
      <c r="E2" s="768" t="s">
        <v>3050</v>
      </c>
      <c r="F2" s="768" t="s">
        <v>30</v>
      </c>
      <c r="G2" s="768" t="s">
        <v>28</v>
      </c>
      <c r="H2" s="20" t="s">
        <v>3050</v>
      </c>
      <c r="I2" s="20" t="s">
        <v>31</v>
      </c>
      <c r="J2" s="20" t="s">
        <v>32</v>
      </c>
      <c r="K2" s="20" t="s">
        <v>33</v>
      </c>
      <c r="L2" s="770" t="s">
        <v>34</v>
      </c>
      <c r="M2" s="20" t="s">
        <v>28</v>
      </c>
      <c r="N2" s="20" t="s">
        <v>28</v>
      </c>
    </row>
    <row r="3" spans="1:15" s="23" customFormat="1" ht="17.399999999999999">
      <c r="A3" s="20" t="s">
        <v>35</v>
      </c>
      <c r="B3" s="20" t="s">
        <v>36</v>
      </c>
      <c r="C3" s="768" t="s">
        <v>4257</v>
      </c>
      <c r="D3" s="20" t="s">
        <v>37</v>
      </c>
      <c r="E3" s="768" t="s">
        <v>3051</v>
      </c>
      <c r="F3" s="768" t="s">
        <v>38</v>
      </c>
      <c r="G3" s="768" t="s">
        <v>35</v>
      </c>
      <c r="H3" s="20" t="s">
        <v>3377</v>
      </c>
      <c r="I3" s="20" t="s">
        <v>39</v>
      </c>
      <c r="J3" s="20" t="s">
        <v>40</v>
      </c>
      <c r="K3" s="20" t="s">
        <v>41</v>
      </c>
      <c r="L3" s="770" t="s">
        <v>42</v>
      </c>
      <c r="M3" s="20" t="s">
        <v>43</v>
      </c>
      <c r="N3" s="20" t="s">
        <v>44</v>
      </c>
    </row>
    <row r="4" spans="1:15" s="23" customFormat="1" ht="17.399999999999999">
      <c r="A4" s="20" t="s">
        <v>45</v>
      </c>
      <c r="B4" s="20" t="s">
        <v>46</v>
      </c>
      <c r="C4" s="768" t="s">
        <v>47</v>
      </c>
      <c r="D4" s="20" t="s">
        <v>47</v>
      </c>
      <c r="E4" s="768" t="s">
        <v>3052</v>
      </c>
      <c r="F4" s="768" t="s">
        <v>48</v>
      </c>
      <c r="G4" s="768" t="s">
        <v>45</v>
      </c>
      <c r="H4" s="20" t="s">
        <v>3052</v>
      </c>
      <c r="I4" s="20" t="s">
        <v>49</v>
      </c>
      <c r="J4" s="20" t="s">
        <v>50</v>
      </c>
      <c r="K4" s="20" t="s">
        <v>51</v>
      </c>
      <c r="L4" s="770" t="s">
        <v>52</v>
      </c>
      <c r="M4" s="20" t="s">
        <v>53</v>
      </c>
      <c r="N4" s="20" t="s">
        <v>54</v>
      </c>
    </row>
    <row r="5" spans="1:15" s="23" customFormat="1" ht="17.399999999999999">
      <c r="A5" s="20" t="s">
        <v>47</v>
      </c>
      <c r="B5" s="20" t="s">
        <v>47</v>
      </c>
      <c r="C5" s="768" t="s">
        <v>47</v>
      </c>
      <c r="D5" s="20" t="s">
        <v>47</v>
      </c>
      <c r="E5" s="768" t="s">
        <v>47</v>
      </c>
      <c r="F5" s="768" t="s">
        <v>47</v>
      </c>
      <c r="G5" s="768" t="s">
        <v>47</v>
      </c>
      <c r="H5" s="20" t="s">
        <v>47</v>
      </c>
      <c r="I5" s="20" t="s">
        <v>47</v>
      </c>
      <c r="J5" s="20" t="s">
        <v>55</v>
      </c>
      <c r="K5" s="20" t="s">
        <v>47</v>
      </c>
      <c r="L5" s="770" t="s">
        <v>47</v>
      </c>
      <c r="M5" s="20" t="s">
        <v>47</v>
      </c>
      <c r="N5" s="20" t="s">
        <v>47</v>
      </c>
    </row>
    <row r="6" spans="1:15" s="23" customFormat="1" ht="17.399999999999999">
      <c r="A6" s="20" t="s">
        <v>56</v>
      </c>
      <c r="B6" s="20" t="s">
        <v>56</v>
      </c>
      <c r="C6" s="768" t="s">
        <v>56</v>
      </c>
      <c r="D6" s="20" t="s">
        <v>56</v>
      </c>
      <c r="E6" s="768" t="s">
        <v>56</v>
      </c>
      <c r="F6" s="768" t="s">
        <v>56</v>
      </c>
      <c r="G6" s="768" t="s">
        <v>56</v>
      </c>
      <c r="H6" s="20" t="s">
        <v>56</v>
      </c>
      <c r="I6" s="20" t="s">
        <v>56</v>
      </c>
      <c r="J6" s="20" t="s">
        <v>57</v>
      </c>
      <c r="K6" s="20" t="s">
        <v>56</v>
      </c>
      <c r="L6" s="770" t="s">
        <v>56</v>
      </c>
      <c r="M6" s="20" t="s">
        <v>56</v>
      </c>
      <c r="N6" s="20" t="s">
        <v>56</v>
      </c>
    </row>
    <row r="7" spans="1:15" s="23" customFormat="1">
      <c r="A7" s="20" t="s">
        <v>3725</v>
      </c>
      <c r="B7" s="20" t="s">
        <v>3727</v>
      </c>
      <c r="C7" s="20" t="s">
        <v>3728</v>
      </c>
      <c r="D7" s="20" t="s">
        <v>3729</v>
      </c>
      <c r="E7" s="768" t="s">
        <v>3726</v>
      </c>
      <c r="F7" s="20" t="s">
        <v>3730</v>
      </c>
      <c r="G7" s="20" t="s">
        <v>3726</v>
      </c>
      <c r="H7" s="20" t="s">
        <v>3726</v>
      </c>
      <c r="I7" s="774" t="s">
        <v>3731</v>
      </c>
      <c r="J7" s="20" t="s">
        <v>3732</v>
      </c>
      <c r="K7" s="20" t="s">
        <v>3732</v>
      </c>
      <c r="L7" s="20" t="s">
        <v>3732</v>
      </c>
      <c r="M7" s="20" t="s">
        <v>3732</v>
      </c>
      <c r="N7" s="20" t="s">
        <v>3732</v>
      </c>
    </row>
    <row r="8" spans="1:15" s="23" customFormat="1" ht="17.399999999999999">
      <c r="A8" s="20" t="s">
        <v>58</v>
      </c>
      <c r="B8" s="20" t="s">
        <v>59</v>
      </c>
      <c r="C8" s="768" t="s">
        <v>60</v>
      </c>
      <c r="D8" s="20" t="s">
        <v>61</v>
      </c>
      <c r="E8" s="768" t="s">
        <v>3053</v>
      </c>
      <c r="F8" s="768" t="s">
        <v>62</v>
      </c>
      <c r="G8" s="768" t="s">
        <v>58</v>
      </c>
      <c r="H8" s="20" t="s">
        <v>3053</v>
      </c>
      <c r="I8" s="20" t="s">
        <v>63</v>
      </c>
      <c r="J8" s="20" t="s">
        <v>64</v>
      </c>
      <c r="K8" s="20" t="s">
        <v>65</v>
      </c>
      <c r="L8" s="770" t="s">
        <v>66</v>
      </c>
      <c r="M8" s="20" t="s">
        <v>67</v>
      </c>
      <c r="N8" s="20" t="s">
        <v>68</v>
      </c>
    </row>
    <row r="9" spans="1:15" s="23" customFormat="1">
      <c r="A9" s="20" t="s">
        <v>2130</v>
      </c>
      <c r="B9" s="787" t="s">
        <v>2131</v>
      </c>
      <c r="C9" s="20" t="s">
        <v>2132</v>
      </c>
      <c r="D9" s="20" t="s">
        <v>3626</v>
      </c>
      <c r="E9" s="20" t="s">
        <v>3228</v>
      </c>
      <c r="F9" s="20" t="s">
        <v>2130</v>
      </c>
      <c r="G9" s="20" t="s">
        <v>2133</v>
      </c>
      <c r="H9" s="20" t="s">
        <v>3378</v>
      </c>
      <c r="I9" s="20" t="s">
        <v>2134</v>
      </c>
      <c r="J9" s="787" t="s">
        <v>2135</v>
      </c>
      <c r="K9" s="20" t="s">
        <v>2136</v>
      </c>
      <c r="L9" s="787" t="s">
        <v>2137</v>
      </c>
      <c r="M9" s="20" t="s">
        <v>2138</v>
      </c>
      <c r="N9" s="787" t="s">
        <v>2139</v>
      </c>
    </row>
    <row r="10" spans="1:15" s="23" customFormat="1">
      <c r="A10" s="20" t="s">
        <v>3765</v>
      </c>
      <c r="B10" s="20" t="s">
        <v>3765</v>
      </c>
      <c r="C10" s="20" t="s">
        <v>4258</v>
      </c>
      <c r="D10" s="20" t="s">
        <v>3765</v>
      </c>
      <c r="E10" s="20" t="s">
        <v>3765</v>
      </c>
      <c r="F10" s="20" t="s">
        <v>3765</v>
      </c>
      <c r="G10" s="20" t="s">
        <v>3836</v>
      </c>
      <c r="H10" s="20" t="s">
        <v>3765</v>
      </c>
      <c r="I10" s="20" t="s">
        <v>3765</v>
      </c>
      <c r="J10" s="20" t="s">
        <v>3765</v>
      </c>
      <c r="K10" s="20" t="s">
        <v>3765</v>
      </c>
      <c r="L10" s="20" t="s">
        <v>3765</v>
      </c>
      <c r="M10" s="20" t="s">
        <v>3765</v>
      </c>
      <c r="N10" s="20" t="s">
        <v>3765</v>
      </c>
      <c r="O10" s="797" t="s">
        <v>3825</v>
      </c>
    </row>
    <row r="11" spans="1:15" s="23" customFormat="1" ht="17.399999999999999">
      <c r="A11" s="20" t="s">
        <v>69</v>
      </c>
      <c r="B11" s="20" t="s">
        <v>70</v>
      </c>
      <c r="C11" s="768" t="s">
        <v>71</v>
      </c>
      <c r="D11" s="20" t="s">
        <v>69</v>
      </c>
      <c r="E11" s="768" t="s">
        <v>69</v>
      </c>
      <c r="F11" s="768" t="s">
        <v>69</v>
      </c>
      <c r="G11" s="768" t="s">
        <v>69</v>
      </c>
      <c r="H11" s="20" t="s">
        <v>69</v>
      </c>
      <c r="I11" s="20" t="s">
        <v>71</v>
      </c>
      <c r="J11" s="20" t="s">
        <v>72</v>
      </c>
      <c r="K11" s="20" t="s">
        <v>70</v>
      </c>
      <c r="L11" s="770" t="s">
        <v>70</v>
      </c>
      <c r="M11" s="20" t="s">
        <v>71</v>
      </c>
      <c r="N11" s="20" t="s">
        <v>69</v>
      </c>
    </row>
    <row r="12" spans="1:15" s="23" customFormat="1" ht="17.399999999999999">
      <c r="A12" s="20" t="s">
        <v>73</v>
      </c>
      <c r="B12" s="20" t="s">
        <v>74</v>
      </c>
      <c r="C12" s="768" t="s">
        <v>75</v>
      </c>
      <c r="D12" s="20" t="s">
        <v>73</v>
      </c>
      <c r="E12" s="768" t="s">
        <v>73</v>
      </c>
      <c r="F12" s="768" t="s">
        <v>73</v>
      </c>
      <c r="G12" s="768" t="s">
        <v>73</v>
      </c>
      <c r="H12" s="20" t="s">
        <v>73</v>
      </c>
      <c r="I12" s="20" t="s">
        <v>75</v>
      </c>
      <c r="J12" s="20" t="s">
        <v>76</v>
      </c>
      <c r="K12" s="20" t="s">
        <v>74</v>
      </c>
      <c r="L12" s="770" t="s">
        <v>74</v>
      </c>
      <c r="M12" s="20" t="s">
        <v>75</v>
      </c>
      <c r="N12" s="20" t="s">
        <v>73</v>
      </c>
    </row>
    <row r="13" spans="1:15" s="23" customFormat="1" ht="17.399999999999999">
      <c r="A13" s="20" t="s">
        <v>77</v>
      </c>
      <c r="B13" s="20" t="s">
        <v>78</v>
      </c>
      <c r="C13" s="768" t="s">
        <v>79</v>
      </c>
      <c r="D13" s="20" t="s">
        <v>77</v>
      </c>
      <c r="E13" s="768" t="s">
        <v>77</v>
      </c>
      <c r="F13" s="768" t="s">
        <v>77</v>
      </c>
      <c r="G13" s="768" t="s">
        <v>77</v>
      </c>
      <c r="H13" s="20" t="s">
        <v>77</v>
      </c>
      <c r="I13" s="20" t="s">
        <v>79</v>
      </c>
      <c r="J13" s="20" t="s">
        <v>80</v>
      </c>
      <c r="K13" s="20" t="s">
        <v>78</v>
      </c>
      <c r="L13" s="770" t="s">
        <v>78</v>
      </c>
      <c r="M13" s="20" t="s">
        <v>79</v>
      </c>
      <c r="N13" s="20" t="s">
        <v>77</v>
      </c>
    </row>
    <row r="14" spans="1:15" s="23" customFormat="1" ht="17.399999999999999">
      <c r="A14" s="20" t="s">
        <v>81</v>
      </c>
      <c r="B14" s="20" t="s">
        <v>82</v>
      </c>
      <c r="C14" s="768" t="s">
        <v>83</v>
      </c>
      <c r="D14" s="20" t="s">
        <v>81</v>
      </c>
      <c r="E14" s="768" t="s">
        <v>81</v>
      </c>
      <c r="F14" s="768" t="s">
        <v>81</v>
      </c>
      <c r="G14" s="768" t="s">
        <v>81</v>
      </c>
      <c r="H14" s="20" t="s">
        <v>81</v>
      </c>
      <c r="I14" s="20" t="s">
        <v>83</v>
      </c>
      <c r="J14" s="20" t="s">
        <v>84</v>
      </c>
      <c r="K14" s="20" t="s">
        <v>82</v>
      </c>
      <c r="L14" s="770" t="s">
        <v>82</v>
      </c>
      <c r="M14" s="20" t="s">
        <v>83</v>
      </c>
      <c r="N14" s="20" t="s">
        <v>81</v>
      </c>
    </row>
    <row r="15" spans="1:15" s="23" customFormat="1" ht="17.399999999999999">
      <c r="A15" s="771" t="s">
        <v>2119</v>
      </c>
      <c r="B15" s="771" t="s">
        <v>2120</v>
      </c>
      <c r="C15" s="768" t="s">
        <v>2121</v>
      </c>
      <c r="D15" s="771" t="s">
        <v>2122</v>
      </c>
      <c r="E15" s="768" t="s">
        <v>3227</v>
      </c>
      <c r="F15" s="768" t="s">
        <v>2123</v>
      </c>
      <c r="G15" s="768" t="s">
        <v>2124</v>
      </c>
      <c r="H15" s="771" t="s">
        <v>3384</v>
      </c>
      <c r="I15" s="771" t="s">
        <v>2125</v>
      </c>
      <c r="J15" s="771" t="s">
        <v>2126</v>
      </c>
      <c r="K15" s="771" t="s">
        <v>2121</v>
      </c>
      <c r="L15" s="772" t="s">
        <v>2127</v>
      </c>
      <c r="M15" s="771" t="s">
        <v>2128</v>
      </c>
      <c r="N15" s="771" t="s">
        <v>2129</v>
      </c>
    </row>
    <row r="16" spans="1:15" s="23" customFormat="1" ht="17.399999999999999">
      <c r="A16" s="20" t="s">
        <v>85</v>
      </c>
      <c r="B16" s="20" t="s">
        <v>86</v>
      </c>
      <c r="C16" s="768" t="s">
        <v>4201</v>
      </c>
      <c r="D16" s="20" t="s">
        <v>3631</v>
      </c>
      <c r="E16" s="768" t="s">
        <v>3054</v>
      </c>
      <c r="F16" s="768" t="s">
        <v>87</v>
      </c>
      <c r="G16" s="768" t="s">
        <v>88</v>
      </c>
      <c r="H16" s="20" t="s">
        <v>3385</v>
      </c>
      <c r="I16" s="20" t="s">
        <v>89</v>
      </c>
      <c r="J16" s="20" t="s">
        <v>90</v>
      </c>
      <c r="K16" s="20" t="s">
        <v>91</v>
      </c>
      <c r="L16" s="770" t="s">
        <v>92</v>
      </c>
      <c r="M16" s="20" t="s">
        <v>93</v>
      </c>
      <c r="N16" s="20" t="s">
        <v>94</v>
      </c>
    </row>
    <row r="17" spans="1:14" s="23" customFormat="1" ht="17.399999999999999">
      <c r="A17" s="767" t="s">
        <v>3849</v>
      </c>
      <c r="B17" s="767" t="s">
        <v>3839</v>
      </c>
      <c r="C17" s="768" t="s">
        <v>4145</v>
      </c>
      <c r="D17" s="767" t="s">
        <v>3841</v>
      </c>
      <c r="E17" s="768" t="s">
        <v>3843</v>
      </c>
      <c r="F17" s="768" t="s">
        <v>3845</v>
      </c>
      <c r="G17" s="768" t="s">
        <v>3847</v>
      </c>
      <c r="H17" s="767" t="s">
        <v>3386</v>
      </c>
      <c r="I17" s="767" t="s">
        <v>99</v>
      </c>
      <c r="J17" s="767" t="s">
        <v>100</v>
      </c>
      <c r="K17" s="20" t="s">
        <v>101</v>
      </c>
      <c r="L17" s="769" t="s">
        <v>4342</v>
      </c>
      <c r="M17" s="767" t="s">
        <v>103</v>
      </c>
      <c r="N17" s="767" t="s">
        <v>104</v>
      </c>
    </row>
    <row r="18" spans="1:14" s="23" customFormat="1" ht="17.399999999999999">
      <c r="A18" s="767" t="s">
        <v>95</v>
      </c>
      <c r="B18" s="767" t="s">
        <v>96</v>
      </c>
      <c r="C18" s="768" t="s">
        <v>4202</v>
      </c>
      <c r="D18" s="767" t="s">
        <v>3632</v>
      </c>
      <c r="E18" s="768" t="s">
        <v>3055</v>
      </c>
      <c r="F18" s="768" t="s">
        <v>97</v>
      </c>
      <c r="G18" s="768" t="s">
        <v>98</v>
      </c>
      <c r="H18" s="767" t="s">
        <v>3386</v>
      </c>
      <c r="I18" s="767" t="s">
        <v>99</v>
      </c>
      <c r="J18" s="767" t="s">
        <v>100</v>
      </c>
      <c r="K18" s="20" t="s">
        <v>101</v>
      </c>
      <c r="L18" s="769" t="s">
        <v>102</v>
      </c>
      <c r="M18" s="767" t="s">
        <v>103</v>
      </c>
      <c r="N18" s="767" t="s">
        <v>104</v>
      </c>
    </row>
    <row r="19" spans="1:14" s="23" customFormat="1" ht="17.399999999999999">
      <c r="A19" s="767" t="s">
        <v>105</v>
      </c>
      <c r="B19" s="767" t="s">
        <v>106</v>
      </c>
      <c r="C19" s="768" t="s">
        <v>4203</v>
      </c>
      <c r="D19" s="767" t="s">
        <v>3633</v>
      </c>
      <c r="E19" s="768" t="s">
        <v>3056</v>
      </c>
      <c r="F19" s="768" t="s">
        <v>107</v>
      </c>
      <c r="G19" s="768" t="s">
        <v>108</v>
      </c>
      <c r="H19" s="767" t="s">
        <v>3387</v>
      </c>
      <c r="I19" s="767" t="s">
        <v>109</v>
      </c>
      <c r="J19" s="767" t="s">
        <v>110</v>
      </c>
      <c r="K19" s="20" t="s">
        <v>111</v>
      </c>
      <c r="L19" s="769" t="s">
        <v>112</v>
      </c>
      <c r="M19" s="767" t="s">
        <v>113</v>
      </c>
      <c r="N19" s="767" t="s">
        <v>114</v>
      </c>
    </row>
    <row r="20" spans="1:14" s="23" customFormat="1" ht="17.399999999999999">
      <c r="A20" s="767" t="s">
        <v>115</v>
      </c>
      <c r="B20" s="767" t="s">
        <v>116</v>
      </c>
      <c r="C20" s="768" t="s">
        <v>4204</v>
      </c>
      <c r="D20" s="767" t="s">
        <v>3634</v>
      </c>
      <c r="E20" s="768" t="s">
        <v>3057</v>
      </c>
      <c r="F20" s="768" t="s">
        <v>117</v>
      </c>
      <c r="G20" s="768" t="s">
        <v>118</v>
      </c>
      <c r="H20" s="767" t="s">
        <v>3388</v>
      </c>
      <c r="I20" s="767" t="s">
        <v>119</v>
      </c>
      <c r="J20" s="767" t="s">
        <v>120</v>
      </c>
      <c r="K20" s="20" t="s">
        <v>121</v>
      </c>
      <c r="L20" s="769" t="s">
        <v>122</v>
      </c>
      <c r="M20" s="767" t="s">
        <v>123</v>
      </c>
      <c r="N20" s="767" t="s">
        <v>124</v>
      </c>
    </row>
    <row r="21" spans="1:14" s="23" customFormat="1" ht="17.399999999999999">
      <c r="A21" s="767" t="s">
        <v>3850</v>
      </c>
      <c r="B21" s="767" t="s">
        <v>3840</v>
      </c>
      <c r="C21" s="768" t="s">
        <v>4146</v>
      </c>
      <c r="D21" s="767" t="s">
        <v>3842</v>
      </c>
      <c r="E21" s="768" t="s">
        <v>3844</v>
      </c>
      <c r="F21" s="768" t="s">
        <v>3846</v>
      </c>
      <c r="G21" s="768" t="s">
        <v>3848</v>
      </c>
      <c r="H21" s="767" t="s">
        <v>3389</v>
      </c>
      <c r="I21" s="767" t="s">
        <v>129</v>
      </c>
      <c r="J21" s="767" t="s">
        <v>130</v>
      </c>
      <c r="K21" s="20" t="s">
        <v>131</v>
      </c>
      <c r="L21" s="769" t="s">
        <v>4343</v>
      </c>
      <c r="M21" s="767" t="s">
        <v>133</v>
      </c>
      <c r="N21" s="767" t="s">
        <v>134</v>
      </c>
    </row>
    <row r="22" spans="1:14" s="23" customFormat="1" ht="17.399999999999999">
      <c r="A22" s="767" t="s">
        <v>125</v>
      </c>
      <c r="B22" s="767" t="s">
        <v>126</v>
      </c>
      <c r="C22" s="768" t="s">
        <v>4205</v>
      </c>
      <c r="D22" s="767" t="s">
        <v>3635</v>
      </c>
      <c r="E22" s="768" t="s">
        <v>3058</v>
      </c>
      <c r="F22" s="768" t="s">
        <v>127</v>
      </c>
      <c r="G22" s="768" t="s">
        <v>128</v>
      </c>
      <c r="H22" s="767" t="s">
        <v>3389</v>
      </c>
      <c r="I22" s="767" t="s">
        <v>129</v>
      </c>
      <c r="J22" s="767" t="s">
        <v>130</v>
      </c>
      <c r="K22" s="20" t="s">
        <v>131</v>
      </c>
      <c r="L22" s="769" t="s">
        <v>132</v>
      </c>
      <c r="M22" s="767" t="s">
        <v>133</v>
      </c>
      <c r="N22" s="767" t="s">
        <v>134</v>
      </c>
    </row>
    <row r="23" spans="1:14" s="23" customFormat="1" ht="17.399999999999999">
      <c r="A23" s="767" t="s">
        <v>135</v>
      </c>
      <c r="B23" s="767" t="s">
        <v>136</v>
      </c>
      <c r="C23" s="768" t="s">
        <v>4206</v>
      </c>
      <c r="D23" s="767" t="s">
        <v>3636</v>
      </c>
      <c r="E23" s="768" t="s">
        <v>3059</v>
      </c>
      <c r="F23" s="768" t="s">
        <v>137</v>
      </c>
      <c r="G23" s="768" t="s">
        <v>138</v>
      </c>
      <c r="H23" s="767" t="s">
        <v>3390</v>
      </c>
      <c r="I23" s="767" t="s">
        <v>139</v>
      </c>
      <c r="J23" s="767" t="s">
        <v>140</v>
      </c>
      <c r="K23" s="20" t="s">
        <v>141</v>
      </c>
      <c r="L23" s="769" t="s">
        <v>142</v>
      </c>
      <c r="M23" s="767" t="s">
        <v>143</v>
      </c>
      <c r="N23" s="767" t="s">
        <v>144</v>
      </c>
    </row>
    <row r="24" spans="1:14" s="23" customFormat="1" ht="17.399999999999999">
      <c r="A24" s="767" t="s">
        <v>145</v>
      </c>
      <c r="B24" s="767" t="s">
        <v>146</v>
      </c>
      <c r="C24" s="768" t="s">
        <v>4207</v>
      </c>
      <c r="D24" s="767" t="s">
        <v>3637</v>
      </c>
      <c r="E24" s="768" t="s">
        <v>3060</v>
      </c>
      <c r="F24" s="768" t="s">
        <v>147</v>
      </c>
      <c r="G24" s="768" t="s">
        <v>148</v>
      </c>
      <c r="H24" s="767" t="s">
        <v>3391</v>
      </c>
      <c r="I24" s="767" t="s">
        <v>149</v>
      </c>
      <c r="J24" s="767" t="s">
        <v>150</v>
      </c>
      <c r="K24" s="20" t="s">
        <v>151</v>
      </c>
      <c r="L24" s="769" t="s">
        <v>152</v>
      </c>
      <c r="M24" s="767" t="s">
        <v>153</v>
      </c>
      <c r="N24" s="767" t="s">
        <v>154</v>
      </c>
    </row>
    <row r="25" spans="1:14" s="23" customFormat="1" ht="17.399999999999999">
      <c r="A25" s="20" t="s">
        <v>155</v>
      </c>
      <c r="B25" s="20" t="s">
        <v>156</v>
      </c>
      <c r="C25" s="768" t="s">
        <v>157</v>
      </c>
      <c r="D25" s="20" t="s">
        <v>158</v>
      </c>
      <c r="E25" s="768" t="s">
        <v>3061</v>
      </c>
      <c r="F25" s="768" t="s">
        <v>159</v>
      </c>
      <c r="G25" s="768" t="s">
        <v>160</v>
      </c>
      <c r="H25" s="20" t="s">
        <v>3392</v>
      </c>
      <c r="I25" s="20" t="s">
        <v>161</v>
      </c>
      <c r="J25" s="20" t="s">
        <v>162</v>
      </c>
      <c r="K25" s="20" t="s">
        <v>163</v>
      </c>
      <c r="L25" s="770" t="s">
        <v>164</v>
      </c>
      <c r="M25" s="20" t="s">
        <v>165</v>
      </c>
      <c r="N25" s="20" t="s">
        <v>166</v>
      </c>
    </row>
    <row r="26" spans="1:14" s="23" customFormat="1" ht="17.399999999999999">
      <c r="A26" s="20" t="s">
        <v>167</v>
      </c>
      <c r="B26" s="20" t="s">
        <v>168</v>
      </c>
      <c r="C26" s="768" t="s">
        <v>169</v>
      </c>
      <c r="D26" s="20" t="s">
        <v>3638</v>
      </c>
      <c r="E26" s="768" t="s">
        <v>3062</v>
      </c>
      <c r="F26" s="768" t="s">
        <v>170</v>
      </c>
      <c r="G26" s="768" t="s">
        <v>171</v>
      </c>
      <c r="H26" s="20" t="s">
        <v>3393</v>
      </c>
      <c r="I26" s="20" t="s">
        <v>172</v>
      </c>
      <c r="J26" s="20" t="s">
        <v>173</v>
      </c>
      <c r="K26" s="20" t="s">
        <v>174</v>
      </c>
      <c r="L26" s="770" t="s">
        <v>175</v>
      </c>
      <c r="M26" s="20" t="s">
        <v>176</v>
      </c>
      <c r="N26" s="20" t="s">
        <v>177</v>
      </c>
    </row>
    <row r="27" spans="1:14" s="23" customFormat="1" ht="17.399999999999999">
      <c r="A27" s="20" t="s">
        <v>178</v>
      </c>
      <c r="B27" s="20" t="s">
        <v>178</v>
      </c>
      <c r="C27" s="768" t="s">
        <v>178</v>
      </c>
      <c r="D27" s="20" t="s">
        <v>179</v>
      </c>
      <c r="E27" s="768" t="s">
        <v>178</v>
      </c>
      <c r="F27" s="768" t="s">
        <v>178</v>
      </c>
      <c r="G27" s="768" t="s">
        <v>180</v>
      </c>
      <c r="H27" s="20" t="s">
        <v>3394</v>
      </c>
      <c r="I27" s="20" t="s">
        <v>178</v>
      </c>
      <c r="J27" s="20" t="s">
        <v>181</v>
      </c>
      <c r="K27" s="20" t="s">
        <v>178</v>
      </c>
      <c r="L27" s="770" t="s">
        <v>178</v>
      </c>
      <c r="M27" s="20" t="s">
        <v>178</v>
      </c>
      <c r="N27" s="20" t="s">
        <v>182</v>
      </c>
    </row>
    <row r="28" spans="1:14" s="23" customFormat="1" ht="34.799999999999997">
      <c r="A28" s="20" t="s">
        <v>2032</v>
      </c>
      <c r="B28" s="20" t="s">
        <v>2033</v>
      </c>
      <c r="C28" s="768" t="s">
        <v>4259</v>
      </c>
      <c r="D28" s="20" t="s">
        <v>3639</v>
      </c>
      <c r="E28" s="768" t="s">
        <v>3220</v>
      </c>
      <c r="F28" s="768" t="s">
        <v>2034</v>
      </c>
      <c r="G28" s="768" t="s">
        <v>2035</v>
      </c>
      <c r="H28" s="20" t="s">
        <v>3395</v>
      </c>
      <c r="I28" s="20" t="s">
        <v>2036</v>
      </c>
      <c r="J28" s="20" t="s">
        <v>2037</v>
      </c>
      <c r="K28" s="783" t="s">
        <v>2038</v>
      </c>
      <c r="L28" s="770" t="s">
        <v>2039</v>
      </c>
      <c r="M28" s="20" t="s">
        <v>2040</v>
      </c>
      <c r="N28" s="20" t="s">
        <v>2041</v>
      </c>
    </row>
    <row r="29" spans="1:14" s="23" customFormat="1">
      <c r="A29" s="23" t="s">
        <v>2177</v>
      </c>
      <c r="B29" s="773" t="s">
        <v>2178</v>
      </c>
      <c r="C29" s="23" t="s">
        <v>2179</v>
      </c>
      <c r="D29" s="23" t="s">
        <v>3640</v>
      </c>
      <c r="E29" s="23" t="s">
        <v>3232</v>
      </c>
      <c r="F29" s="23" t="s">
        <v>2177</v>
      </c>
      <c r="G29" s="23" t="s">
        <v>2180</v>
      </c>
      <c r="H29" s="23" t="s">
        <v>3396</v>
      </c>
      <c r="I29" s="23" t="s">
        <v>2181</v>
      </c>
      <c r="J29" s="23" t="s">
        <v>2182</v>
      </c>
      <c r="K29" s="23" t="s">
        <v>2183</v>
      </c>
      <c r="L29" s="773" t="s">
        <v>2184</v>
      </c>
      <c r="M29" s="23" t="s">
        <v>2185</v>
      </c>
      <c r="N29" s="773" t="s">
        <v>2186</v>
      </c>
    </row>
    <row r="30" spans="1:14" s="23" customFormat="1" ht="17.399999999999999">
      <c r="A30" s="790" t="s">
        <v>2088</v>
      </c>
      <c r="B30" s="790" t="s">
        <v>2089</v>
      </c>
      <c r="C30" s="768" t="s">
        <v>2090</v>
      </c>
      <c r="D30" s="790" t="s">
        <v>2091</v>
      </c>
      <c r="E30" s="768" t="s">
        <v>3225</v>
      </c>
      <c r="F30" s="768" t="s">
        <v>2092</v>
      </c>
      <c r="G30" s="768" t="s">
        <v>2093</v>
      </c>
      <c r="H30" s="790" t="s">
        <v>3397</v>
      </c>
      <c r="I30" s="790" t="s">
        <v>2094</v>
      </c>
      <c r="J30" s="790" t="s">
        <v>2095</v>
      </c>
      <c r="K30" s="790" t="s">
        <v>2096</v>
      </c>
      <c r="L30" s="791" t="s">
        <v>2097</v>
      </c>
      <c r="M30" s="790" t="s">
        <v>2098</v>
      </c>
      <c r="N30" s="790" t="s">
        <v>2099</v>
      </c>
    </row>
    <row r="31" spans="1:14" s="23" customFormat="1" ht="17.399999999999999">
      <c r="A31" s="20" t="s">
        <v>184</v>
      </c>
      <c r="B31" s="20" t="s">
        <v>185</v>
      </c>
      <c r="C31" s="768" t="s">
        <v>186</v>
      </c>
      <c r="D31" s="20" t="s">
        <v>3641</v>
      </c>
      <c r="E31" s="768" t="s">
        <v>3063</v>
      </c>
      <c r="F31" s="768" t="s">
        <v>187</v>
      </c>
      <c r="G31" s="768" t="s">
        <v>188</v>
      </c>
      <c r="H31" s="20" t="s">
        <v>3398</v>
      </c>
      <c r="I31" s="20" t="s">
        <v>189</v>
      </c>
      <c r="J31" s="20" t="s">
        <v>190</v>
      </c>
      <c r="K31" s="783" t="s">
        <v>191</v>
      </c>
      <c r="L31" s="770" t="s">
        <v>192</v>
      </c>
      <c r="M31" s="20" t="s">
        <v>193</v>
      </c>
      <c r="N31" s="20" t="s">
        <v>194</v>
      </c>
    </row>
    <row r="32" spans="1:14" s="23" customFormat="1">
      <c r="A32" s="23" t="s">
        <v>2187</v>
      </c>
      <c r="B32" s="773" t="s">
        <v>2188</v>
      </c>
      <c r="C32" s="23" t="s">
        <v>2189</v>
      </c>
      <c r="D32" s="23" t="s">
        <v>3642</v>
      </c>
      <c r="E32" s="23" t="s">
        <v>3233</v>
      </c>
      <c r="F32" s="23" t="s">
        <v>2187</v>
      </c>
      <c r="G32" s="23" t="s">
        <v>2190</v>
      </c>
      <c r="H32" s="23" t="s">
        <v>3399</v>
      </c>
      <c r="I32" s="23" t="s">
        <v>2191</v>
      </c>
      <c r="J32" s="23" t="s">
        <v>2192</v>
      </c>
      <c r="K32" s="23" t="s">
        <v>2193</v>
      </c>
      <c r="L32" s="773" t="s">
        <v>2194</v>
      </c>
      <c r="M32" s="23" t="s">
        <v>2195</v>
      </c>
      <c r="N32" s="773" t="s">
        <v>2196</v>
      </c>
    </row>
    <row r="33" spans="1:15" s="23" customFormat="1" ht="17.399999999999999">
      <c r="A33" s="20" t="s">
        <v>195</v>
      </c>
      <c r="B33" s="20" t="s">
        <v>4321</v>
      </c>
      <c r="C33" s="768" t="s">
        <v>196</v>
      </c>
      <c r="D33" s="20" t="s">
        <v>197</v>
      </c>
      <c r="E33" s="768" t="s">
        <v>3064</v>
      </c>
      <c r="F33" s="768" t="s">
        <v>198</v>
      </c>
      <c r="G33" s="768" t="s">
        <v>199</v>
      </c>
      <c r="H33" s="20" t="s">
        <v>3400</v>
      </c>
      <c r="I33" s="20" t="s">
        <v>200</v>
      </c>
      <c r="J33" s="20" t="s">
        <v>201</v>
      </c>
      <c r="K33" s="783" t="s">
        <v>202</v>
      </c>
      <c r="L33" s="770" t="s">
        <v>4344</v>
      </c>
      <c r="M33" s="20" t="s">
        <v>203</v>
      </c>
      <c r="N33" s="20" t="s">
        <v>204</v>
      </c>
    </row>
    <row r="34" spans="1:15" s="23" customFormat="1" ht="17.399999999999999">
      <c r="A34" s="20" t="s">
        <v>205</v>
      </c>
      <c r="B34" s="20" t="s">
        <v>206</v>
      </c>
      <c r="C34" s="768" t="s">
        <v>207</v>
      </c>
      <c r="D34" s="20" t="s">
        <v>208</v>
      </c>
      <c r="E34" s="768" t="s">
        <v>3065</v>
      </c>
      <c r="F34" s="768" t="s">
        <v>209</v>
      </c>
      <c r="G34" s="768" t="s">
        <v>210</v>
      </c>
      <c r="H34" s="20" t="s">
        <v>3065</v>
      </c>
      <c r="I34" s="20" t="s">
        <v>211</v>
      </c>
      <c r="J34" s="20" t="s">
        <v>212</v>
      </c>
      <c r="K34" s="20" t="s">
        <v>213</v>
      </c>
      <c r="L34" s="770" t="s">
        <v>214</v>
      </c>
      <c r="M34" s="20" t="s">
        <v>215</v>
      </c>
      <c r="N34" s="20" t="s">
        <v>216</v>
      </c>
    </row>
    <row r="35" spans="1:15" s="23" customFormat="1" ht="17.399999999999999">
      <c r="A35" s="20" t="s">
        <v>217</v>
      </c>
      <c r="B35" s="20" t="s">
        <v>218</v>
      </c>
      <c r="C35" s="768" t="s">
        <v>219</v>
      </c>
      <c r="D35" s="20" t="s">
        <v>220</v>
      </c>
      <c r="E35" s="768" t="s">
        <v>3066</v>
      </c>
      <c r="F35" s="768" t="s">
        <v>221</v>
      </c>
      <c r="G35" s="768" t="s">
        <v>222</v>
      </c>
      <c r="H35" s="20" t="s">
        <v>3401</v>
      </c>
      <c r="I35" s="20" t="s">
        <v>223</v>
      </c>
      <c r="J35" s="20" t="s">
        <v>224</v>
      </c>
      <c r="K35" s="20" t="s">
        <v>225</v>
      </c>
      <c r="L35" s="770" t="s">
        <v>226</v>
      </c>
      <c r="M35" s="20" t="s">
        <v>227</v>
      </c>
      <c r="N35" s="20" t="s">
        <v>228</v>
      </c>
    </row>
    <row r="36" spans="1:15" s="23" customFormat="1" ht="17.399999999999999">
      <c r="A36" s="20" t="s">
        <v>229</v>
      </c>
      <c r="B36" s="20" t="s">
        <v>230</v>
      </c>
      <c r="C36" s="768" t="s">
        <v>231</v>
      </c>
      <c r="D36" s="20" t="s">
        <v>232</v>
      </c>
      <c r="E36" s="768" t="s">
        <v>3067</v>
      </c>
      <c r="F36" s="768" t="s">
        <v>233</v>
      </c>
      <c r="G36" s="768" t="s">
        <v>234</v>
      </c>
      <c r="H36" s="20" t="s">
        <v>3402</v>
      </c>
      <c r="I36" s="20" t="s">
        <v>235</v>
      </c>
      <c r="J36" s="20" t="s">
        <v>236</v>
      </c>
      <c r="K36" s="20" t="s">
        <v>237</v>
      </c>
      <c r="L36" s="770" t="s">
        <v>238</v>
      </c>
      <c r="M36" s="20" t="s">
        <v>239</v>
      </c>
      <c r="N36" s="20" t="s">
        <v>240</v>
      </c>
    </row>
    <row r="37" spans="1:15" s="23" customFormat="1" ht="17.399999999999999">
      <c r="A37" s="20" t="s">
        <v>3857</v>
      </c>
      <c r="B37" s="20" t="s">
        <v>241</v>
      </c>
      <c r="C37" s="768" t="s">
        <v>242</v>
      </c>
      <c r="D37" s="20" t="s">
        <v>243</v>
      </c>
      <c r="E37" s="768" t="s">
        <v>3068</v>
      </c>
      <c r="F37" s="768" t="s">
        <v>244</v>
      </c>
      <c r="G37" s="768" t="s">
        <v>245</v>
      </c>
      <c r="H37" s="20" t="s">
        <v>3403</v>
      </c>
      <c r="I37" s="20" t="s">
        <v>246</v>
      </c>
      <c r="J37" s="20" t="s">
        <v>247</v>
      </c>
      <c r="K37" s="20" t="s">
        <v>248</v>
      </c>
      <c r="L37" s="770" t="s">
        <v>249</v>
      </c>
      <c r="M37" s="20" t="s">
        <v>250</v>
      </c>
      <c r="N37" s="20" t="s">
        <v>251</v>
      </c>
    </row>
    <row r="38" spans="1:15" s="23" customFormat="1" ht="17.399999999999999">
      <c r="A38" s="20" t="s">
        <v>3858</v>
      </c>
      <c r="B38" s="20" t="s">
        <v>252</v>
      </c>
      <c r="C38" s="768" t="s">
        <v>253</v>
      </c>
      <c r="D38" s="20" t="s">
        <v>254</v>
      </c>
      <c r="E38" s="768" t="s">
        <v>3069</v>
      </c>
      <c r="F38" s="768" t="s">
        <v>255</v>
      </c>
      <c r="G38" s="768" t="s">
        <v>256</v>
      </c>
      <c r="H38" s="20" t="s">
        <v>3404</v>
      </c>
      <c r="I38" s="20" t="s">
        <v>257</v>
      </c>
      <c r="J38" s="20" t="s">
        <v>258</v>
      </c>
      <c r="K38" s="783" t="s">
        <v>259</v>
      </c>
      <c r="L38" s="770" t="s">
        <v>260</v>
      </c>
      <c r="M38" s="20" t="s">
        <v>261</v>
      </c>
      <c r="N38" s="20" t="s">
        <v>262</v>
      </c>
    </row>
    <row r="39" spans="1:15" s="23" customFormat="1" ht="17.399999999999999">
      <c r="A39" s="20" t="s">
        <v>263</v>
      </c>
      <c r="B39" s="20" t="s">
        <v>264</v>
      </c>
      <c r="C39" s="768" t="s">
        <v>265</v>
      </c>
      <c r="D39" s="20" t="s">
        <v>266</v>
      </c>
      <c r="E39" s="768" t="s">
        <v>3070</v>
      </c>
      <c r="F39" s="768" t="s">
        <v>267</v>
      </c>
      <c r="G39" s="768" t="s">
        <v>268</v>
      </c>
      <c r="H39" s="20" t="s">
        <v>3405</v>
      </c>
      <c r="I39" s="20" t="s">
        <v>269</v>
      </c>
      <c r="J39" s="20" t="s">
        <v>270</v>
      </c>
      <c r="K39" s="783" t="s">
        <v>271</v>
      </c>
      <c r="L39" s="770" t="s">
        <v>272</v>
      </c>
      <c r="M39" s="20" t="s">
        <v>273</v>
      </c>
      <c r="N39" s="20" t="s">
        <v>274</v>
      </c>
    </row>
    <row r="40" spans="1:15" s="23" customFormat="1" ht="17.399999999999999">
      <c r="A40" s="767" t="s">
        <v>275</v>
      </c>
      <c r="B40" s="767" t="s">
        <v>276</v>
      </c>
      <c r="C40" s="768" t="s">
        <v>277</v>
      </c>
      <c r="D40" s="767" t="s">
        <v>278</v>
      </c>
      <c r="E40" s="768" t="s">
        <v>3071</v>
      </c>
      <c r="F40" s="768" t="s">
        <v>279</v>
      </c>
      <c r="G40" s="768" t="s">
        <v>280</v>
      </c>
      <c r="H40" s="767" t="s">
        <v>3406</v>
      </c>
      <c r="I40" s="767" t="s">
        <v>281</v>
      </c>
      <c r="J40" s="767" t="s">
        <v>282</v>
      </c>
      <c r="K40" s="767" t="s">
        <v>283</v>
      </c>
      <c r="L40" s="769" t="s">
        <v>284</v>
      </c>
      <c r="M40" s="767" t="s">
        <v>285</v>
      </c>
      <c r="N40" s="767" t="s">
        <v>286</v>
      </c>
    </row>
    <row r="41" spans="1:15" s="23" customFormat="1" ht="17.399999999999999">
      <c r="A41" s="20" t="s">
        <v>3859</v>
      </c>
      <c r="B41" s="20" t="s">
        <v>287</v>
      </c>
      <c r="C41" s="768" t="s">
        <v>288</v>
      </c>
      <c r="D41" s="20" t="s">
        <v>289</v>
      </c>
      <c r="E41" s="768" t="s">
        <v>3072</v>
      </c>
      <c r="F41" s="768" t="s">
        <v>290</v>
      </c>
      <c r="G41" s="768" t="s">
        <v>291</v>
      </c>
      <c r="H41" s="20" t="s">
        <v>3407</v>
      </c>
      <c r="I41" s="20" t="s">
        <v>292</v>
      </c>
      <c r="J41" s="20" t="s">
        <v>293</v>
      </c>
      <c r="K41" s="783" t="s">
        <v>294</v>
      </c>
      <c r="L41" s="770" t="s">
        <v>295</v>
      </c>
      <c r="M41" s="20" t="s">
        <v>296</v>
      </c>
      <c r="N41" s="20" t="s">
        <v>297</v>
      </c>
    </row>
    <row r="42" spans="1:15" s="23" customFormat="1" ht="17.399999999999999">
      <c r="A42" s="20" t="s">
        <v>298</v>
      </c>
      <c r="B42" s="20" t="s">
        <v>299</v>
      </c>
      <c r="C42" s="768" t="s">
        <v>300</v>
      </c>
      <c r="D42" s="20" t="s">
        <v>301</v>
      </c>
      <c r="E42" s="768" t="s">
        <v>3073</v>
      </c>
      <c r="F42" s="768" t="s">
        <v>302</v>
      </c>
      <c r="G42" s="768" t="s">
        <v>303</v>
      </c>
      <c r="H42" s="20" t="s">
        <v>3408</v>
      </c>
      <c r="I42" s="20" t="s">
        <v>304</v>
      </c>
      <c r="J42" s="20" t="s">
        <v>305</v>
      </c>
      <c r="K42" s="20" t="s">
        <v>306</v>
      </c>
      <c r="L42" s="770" t="s">
        <v>307</v>
      </c>
      <c r="M42" s="20" t="s">
        <v>308</v>
      </c>
      <c r="N42" s="20" t="s">
        <v>309</v>
      </c>
    </row>
    <row r="43" spans="1:15" s="23" customFormat="1">
      <c r="A43" s="23" t="s">
        <v>2197</v>
      </c>
      <c r="B43" s="773" t="s">
        <v>2198</v>
      </c>
      <c r="C43" s="23" t="s">
        <v>2199</v>
      </c>
      <c r="D43" s="23" t="s">
        <v>3643</v>
      </c>
      <c r="E43" s="23" t="s">
        <v>3234</v>
      </c>
      <c r="F43" s="23" t="s">
        <v>2197</v>
      </c>
      <c r="G43" s="23" t="s">
        <v>2200</v>
      </c>
      <c r="H43" s="23" t="s">
        <v>3409</v>
      </c>
      <c r="I43" s="23" t="s">
        <v>2201</v>
      </c>
      <c r="J43" s="23" t="s">
        <v>2202</v>
      </c>
      <c r="K43" s="23" t="s">
        <v>2203</v>
      </c>
      <c r="L43" s="773" t="s">
        <v>2204</v>
      </c>
      <c r="M43" s="23" t="s">
        <v>2205</v>
      </c>
      <c r="N43" s="773" t="s">
        <v>2206</v>
      </c>
    </row>
    <row r="44" spans="1:15" s="23" customFormat="1">
      <c r="A44" s="23" t="s">
        <v>2207</v>
      </c>
      <c r="B44" s="773" t="s">
        <v>2208</v>
      </c>
      <c r="C44" s="23" t="s">
        <v>2209</v>
      </c>
      <c r="D44" s="23" t="s">
        <v>3644</v>
      </c>
      <c r="E44" s="23" t="s">
        <v>3235</v>
      </c>
      <c r="F44" s="23" t="s">
        <v>2207</v>
      </c>
      <c r="G44" s="23" t="s">
        <v>2210</v>
      </c>
      <c r="H44" s="23" t="s">
        <v>3410</v>
      </c>
      <c r="I44" s="23" t="s">
        <v>2211</v>
      </c>
      <c r="J44" s="23" t="s">
        <v>2212</v>
      </c>
      <c r="K44" s="23" t="s">
        <v>2213</v>
      </c>
      <c r="L44" s="773" t="s">
        <v>2214</v>
      </c>
      <c r="M44" s="23" t="s">
        <v>2215</v>
      </c>
      <c r="N44" s="773" t="s">
        <v>2216</v>
      </c>
    </row>
    <row r="45" spans="1:15" s="23" customFormat="1">
      <c r="A45" s="23" t="s">
        <v>2217</v>
      </c>
      <c r="B45" s="773" t="s">
        <v>2218</v>
      </c>
      <c r="C45" s="23" t="s">
        <v>2219</v>
      </c>
      <c r="D45" s="23" t="s">
        <v>3645</v>
      </c>
      <c r="E45" s="23" t="s">
        <v>3236</v>
      </c>
      <c r="F45" s="23" t="s">
        <v>2217</v>
      </c>
      <c r="G45" s="23" t="s">
        <v>2220</v>
      </c>
      <c r="H45" s="23" t="s">
        <v>3411</v>
      </c>
      <c r="I45" s="23" t="s">
        <v>2221</v>
      </c>
      <c r="J45" s="23" t="s">
        <v>2222</v>
      </c>
      <c r="K45" s="23" t="s">
        <v>2223</v>
      </c>
      <c r="L45" s="773" t="s">
        <v>2224</v>
      </c>
      <c r="M45" s="23" t="s">
        <v>2225</v>
      </c>
      <c r="N45" s="773" t="s">
        <v>2226</v>
      </c>
    </row>
    <row r="46" spans="1:15" s="23" customFormat="1">
      <c r="A46" s="23" t="s">
        <v>2227</v>
      </c>
      <c r="B46" s="773" t="s">
        <v>2228</v>
      </c>
      <c r="C46" s="23" t="s">
        <v>2229</v>
      </c>
      <c r="D46" s="23" t="s">
        <v>3646</v>
      </c>
      <c r="E46" s="23" t="s">
        <v>3237</v>
      </c>
      <c r="F46" s="23" t="s">
        <v>2227</v>
      </c>
      <c r="G46" s="23" t="s">
        <v>2230</v>
      </c>
      <c r="H46" s="23" t="s">
        <v>3412</v>
      </c>
      <c r="I46" s="23" t="s">
        <v>2231</v>
      </c>
      <c r="J46" s="23" t="s">
        <v>2232</v>
      </c>
      <c r="K46" s="23" t="s">
        <v>2233</v>
      </c>
      <c r="L46" s="773" t="s">
        <v>2234</v>
      </c>
      <c r="M46" s="23" t="s">
        <v>2235</v>
      </c>
      <c r="N46" s="773" t="s">
        <v>2236</v>
      </c>
    </row>
    <row r="47" spans="1:15" s="23" customFormat="1">
      <c r="A47" s="23" t="s">
        <v>2237</v>
      </c>
      <c r="B47" s="773" t="s">
        <v>2238</v>
      </c>
      <c r="C47" s="23" t="s">
        <v>2239</v>
      </c>
      <c r="D47" s="23" t="s">
        <v>3647</v>
      </c>
      <c r="E47" s="23" t="s">
        <v>3238</v>
      </c>
      <c r="F47" s="23" t="s">
        <v>2237</v>
      </c>
      <c r="G47" s="23" t="s">
        <v>2240</v>
      </c>
      <c r="H47" s="23" t="s">
        <v>3413</v>
      </c>
      <c r="I47" s="23" t="s">
        <v>2241</v>
      </c>
      <c r="J47" s="23" t="s">
        <v>2242</v>
      </c>
      <c r="K47" s="23" t="s">
        <v>2243</v>
      </c>
      <c r="L47" s="773" t="s">
        <v>2244</v>
      </c>
      <c r="M47" s="23" t="s">
        <v>2245</v>
      </c>
      <c r="N47" s="773" t="s">
        <v>2246</v>
      </c>
    </row>
    <row r="48" spans="1:15" s="23" customFormat="1">
      <c r="A48" s="20" t="s">
        <v>3733</v>
      </c>
      <c r="B48" s="798" t="s">
        <v>4134</v>
      </c>
      <c r="C48" s="798" t="s">
        <v>4260</v>
      </c>
      <c r="D48" s="798" t="s">
        <v>4135</v>
      </c>
      <c r="E48" s="798" t="s">
        <v>4136</v>
      </c>
      <c r="F48" s="798" t="s">
        <v>4137</v>
      </c>
      <c r="G48" s="798" t="s">
        <v>4138</v>
      </c>
      <c r="H48" s="798" t="s">
        <v>4139</v>
      </c>
      <c r="I48" s="798" t="s">
        <v>4140</v>
      </c>
      <c r="J48" s="798" t="s">
        <v>4137</v>
      </c>
      <c r="K48" s="798" t="s">
        <v>4141</v>
      </c>
      <c r="L48" s="798" t="s">
        <v>4142</v>
      </c>
      <c r="M48" s="798" t="s">
        <v>4143</v>
      </c>
      <c r="N48" s="798" t="s">
        <v>4144</v>
      </c>
      <c r="O48"/>
    </row>
    <row r="49" spans="1:15" s="23" customFormat="1" ht="34.799999999999997">
      <c r="A49" s="20" t="s">
        <v>1954</v>
      </c>
      <c r="B49" s="20" t="s">
        <v>1955</v>
      </c>
      <c r="C49" s="768" t="s">
        <v>1956</v>
      </c>
      <c r="D49" s="20" t="s">
        <v>1957</v>
      </c>
      <c r="E49" s="768" t="s">
        <v>3213</v>
      </c>
      <c r="F49" s="768" t="s">
        <v>1958</v>
      </c>
      <c r="G49" s="768" t="s">
        <v>1959</v>
      </c>
      <c r="H49" s="20" t="s">
        <v>3414</v>
      </c>
      <c r="I49" s="20" t="s">
        <v>1960</v>
      </c>
      <c r="J49" s="20" t="s">
        <v>1961</v>
      </c>
      <c r="K49" s="20" t="s">
        <v>1962</v>
      </c>
      <c r="L49" s="770" t="s">
        <v>1963</v>
      </c>
      <c r="M49" s="20" t="s">
        <v>1964</v>
      </c>
      <c r="N49" s="20" t="s">
        <v>1965</v>
      </c>
    </row>
    <row r="50" spans="1:15" s="23" customFormat="1" ht="17.399999999999999">
      <c r="A50" s="20" t="s">
        <v>310</v>
      </c>
      <c r="B50" s="20" t="s">
        <v>311</v>
      </c>
      <c r="C50" s="768" t="s">
        <v>312</v>
      </c>
      <c r="D50" s="20" t="s">
        <v>313</v>
      </c>
      <c r="E50" s="768" t="s">
        <v>3074</v>
      </c>
      <c r="F50" s="768" t="s">
        <v>314</v>
      </c>
      <c r="G50" s="768" t="s">
        <v>315</v>
      </c>
      <c r="H50" s="20" t="s">
        <v>3415</v>
      </c>
      <c r="I50" s="20" t="s">
        <v>316</v>
      </c>
      <c r="J50" s="20" t="s">
        <v>317</v>
      </c>
      <c r="K50" s="20" t="s">
        <v>318</v>
      </c>
      <c r="L50" s="770" t="s">
        <v>319</v>
      </c>
      <c r="M50" s="20" t="s">
        <v>320</v>
      </c>
      <c r="N50" s="20" t="s">
        <v>321</v>
      </c>
    </row>
    <row r="51" spans="1:15" s="23" customFormat="1">
      <c r="A51" s="20" t="s">
        <v>3328</v>
      </c>
      <c r="B51" s="20" t="s">
        <v>4322</v>
      </c>
      <c r="C51" s="20" t="s">
        <v>4208</v>
      </c>
      <c r="D51" s="20" t="s">
        <v>3328</v>
      </c>
      <c r="E51" s="20" t="s">
        <v>3365</v>
      </c>
      <c r="F51" s="20" t="s">
        <v>3328</v>
      </c>
      <c r="G51" s="20" t="s">
        <v>3821</v>
      </c>
      <c r="H51" s="20" t="s">
        <v>3623</v>
      </c>
      <c r="I51" s="20" t="s">
        <v>3328</v>
      </c>
      <c r="J51" s="20" t="s">
        <v>3328</v>
      </c>
      <c r="K51" s="20" t="s">
        <v>3376</v>
      </c>
      <c r="L51" s="20" t="s">
        <v>4345</v>
      </c>
      <c r="M51" s="20" t="s">
        <v>3328</v>
      </c>
      <c r="N51" s="20" t="s">
        <v>3328</v>
      </c>
    </row>
    <row r="52" spans="1:15" s="23" customFormat="1">
      <c r="A52" s="23" t="s">
        <v>2247</v>
      </c>
      <c r="B52" s="773" t="s">
        <v>2248</v>
      </c>
      <c r="C52" s="23" t="s">
        <v>2249</v>
      </c>
      <c r="D52" s="23" t="s">
        <v>3648</v>
      </c>
      <c r="E52" s="23" t="s">
        <v>3239</v>
      </c>
      <c r="F52" s="23" t="s">
        <v>2247</v>
      </c>
      <c r="G52" s="23" t="s">
        <v>2250</v>
      </c>
      <c r="H52" s="23" t="s">
        <v>3416</v>
      </c>
      <c r="I52" s="23" t="s">
        <v>2251</v>
      </c>
      <c r="J52" s="23" t="s">
        <v>2252</v>
      </c>
      <c r="K52" s="23" t="s">
        <v>2253</v>
      </c>
      <c r="L52" s="773" t="s">
        <v>2254</v>
      </c>
      <c r="M52" s="23" t="s">
        <v>2255</v>
      </c>
      <c r="N52" s="773" t="s">
        <v>2256</v>
      </c>
    </row>
    <row r="53" spans="1:15" s="23" customFormat="1">
      <c r="A53" s="23" t="s">
        <v>2257</v>
      </c>
      <c r="B53" s="773" t="s">
        <v>2258</v>
      </c>
      <c r="C53" s="23" t="s">
        <v>2259</v>
      </c>
      <c r="D53" s="23" t="s">
        <v>3649</v>
      </c>
      <c r="E53" s="23" t="s">
        <v>3240</v>
      </c>
      <c r="F53" s="23" t="s">
        <v>2257</v>
      </c>
      <c r="G53" s="23" t="s">
        <v>2260</v>
      </c>
      <c r="H53" s="23" t="s">
        <v>3417</v>
      </c>
      <c r="I53" s="23" t="s">
        <v>2261</v>
      </c>
      <c r="J53" s="23" t="s">
        <v>2262</v>
      </c>
      <c r="K53" s="23" t="s">
        <v>2263</v>
      </c>
      <c r="L53" s="773" t="s">
        <v>2264</v>
      </c>
      <c r="M53" s="23" t="s">
        <v>2265</v>
      </c>
      <c r="N53" s="773" t="s">
        <v>2266</v>
      </c>
    </row>
    <row r="54" spans="1:15" s="23" customFormat="1">
      <c r="A54" s="23" t="s">
        <v>2267</v>
      </c>
      <c r="B54" s="773" t="s">
        <v>2268</v>
      </c>
      <c r="C54" s="23" t="s">
        <v>2269</v>
      </c>
      <c r="D54" s="23" t="s">
        <v>3650</v>
      </c>
      <c r="E54" s="23" t="s">
        <v>3241</v>
      </c>
      <c r="F54" s="23" t="s">
        <v>2267</v>
      </c>
      <c r="G54" s="23" t="s">
        <v>2270</v>
      </c>
      <c r="H54" s="23" t="s">
        <v>3418</v>
      </c>
      <c r="I54" s="23" t="s">
        <v>2271</v>
      </c>
      <c r="J54" s="23" t="s">
        <v>2272</v>
      </c>
      <c r="K54" s="23" t="s">
        <v>2273</v>
      </c>
      <c r="L54" s="773" t="s">
        <v>2274</v>
      </c>
      <c r="M54" s="23" t="s">
        <v>2275</v>
      </c>
      <c r="N54" s="773" t="s">
        <v>2276</v>
      </c>
    </row>
    <row r="55" spans="1:15" s="23" customFormat="1">
      <c r="A55" s="23" t="s">
        <v>2277</v>
      </c>
      <c r="B55" s="773" t="s">
        <v>2278</v>
      </c>
      <c r="C55" s="23" t="s">
        <v>2279</v>
      </c>
      <c r="D55" s="23" t="s">
        <v>3651</v>
      </c>
      <c r="E55" s="23" t="s">
        <v>3242</v>
      </c>
      <c r="F55" s="23" t="s">
        <v>2277</v>
      </c>
      <c r="G55" s="23" t="s">
        <v>2280</v>
      </c>
      <c r="H55" s="23" t="s">
        <v>3419</v>
      </c>
      <c r="I55" s="23" t="s">
        <v>2281</v>
      </c>
      <c r="J55" s="23" t="s">
        <v>2282</v>
      </c>
      <c r="K55" s="23" t="s">
        <v>2283</v>
      </c>
      <c r="L55" s="773" t="s">
        <v>2284</v>
      </c>
      <c r="M55" s="23" t="s">
        <v>2285</v>
      </c>
      <c r="N55" s="773" t="s">
        <v>2286</v>
      </c>
    </row>
    <row r="56" spans="1:15" s="23" customFormat="1">
      <c r="A56" s="23" t="s">
        <v>2287</v>
      </c>
      <c r="B56" s="773" t="s">
        <v>2288</v>
      </c>
      <c r="C56" s="23" t="s">
        <v>2289</v>
      </c>
      <c r="D56" s="23" t="s">
        <v>3652</v>
      </c>
      <c r="E56" s="23" t="s">
        <v>3243</v>
      </c>
      <c r="F56" s="23" t="s">
        <v>2287</v>
      </c>
      <c r="G56" s="23" t="s">
        <v>2290</v>
      </c>
      <c r="H56" s="23" t="s">
        <v>3420</v>
      </c>
      <c r="I56" s="23" t="s">
        <v>2291</v>
      </c>
      <c r="J56" s="23" t="s">
        <v>2292</v>
      </c>
      <c r="K56" s="23" t="s">
        <v>2293</v>
      </c>
      <c r="L56" s="773" t="s">
        <v>2294</v>
      </c>
      <c r="M56" s="23" t="s">
        <v>2295</v>
      </c>
      <c r="N56" s="773" t="s">
        <v>2296</v>
      </c>
    </row>
    <row r="57" spans="1:15" s="23" customFormat="1" ht="28.8">
      <c r="A57" s="20" t="s">
        <v>3319</v>
      </c>
      <c r="B57" s="20" t="s">
        <v>3319</v>
      </c>
      <c r="C57" s="20" t="s">
        <v>4209</v>
      </c>
      <c r="D57" s="20" t="s">
        <v>3653</v>
      </c>
      <c r="E57" s="20" t="s">
        <v>3363</v>
      </c>
      <c r="F57" s="20" t="s">
        <v>3319</v>
      </c>
      <c r="G57" s="23" t="s">
        <v>3835</v>
      </c>
      <c r="H57" s="20" t="s">
        <v>3421</v>
      </c>
      <c r="I57" s="20" t="s">
        <v>3319</v>
      </c>
      <c r="J57" s="20" t="s">
        <v>3319</v>
      </c>
      <c r="K57" s="796" t="s">
        <v>3371</v>
      </c>
      <c r="L57" s="20" t="s">
        <v>3319</v>
      </c>
      <c r="M57" s="20" t="s">
        <v>3319</v>
      </c>
      <c r="N57" s="20" t="s">
        <v>3319</v>
      </c>
    </row>
    <row r="58" spans="1:15" s="23" customFormat="1" ht="17.399999999999999">
      <c r="A58" s="20" t="s">
        <v>322</v>
      </c>
      <c r="B58" s="20" t="s">
        <v>323</v>
      </c>
      <c r="C58" s="768" t="s">
        <v>4210</v>
      </c>
      <c r="D58" s="20" t="s">
        <v>324</v>
      </c>
      <c r="E58" s="768" t="s">
        <v>3075</v>
      </c>
      <c r="F58" s="768" t="s">
        <v>325</v>
      </c>
      <c r="G58" s="768" t="s">
        <v>326</v>
      </c>
      <c r="H58" s="20" t="s">
        <v>3422</v>
      </c>
      <c r="I58" s="20" t="s">
        <v>327</v>
      </c>
      <c r="J58" s="20" t="s">
        <v>328</v>
      </c>
      <c r="K58" s="20" t="s">
        <v>329</v>
      </c>
      <c r="L58" s="770" t="s">
        <v>330</v>
      </c>
      <c r="M58" s="20" t="s">
        <v>331</v>
      </c>
      <c r="N58" s="20" t="s">
        <v>332</v>
      </c>
    </row>
    <row r="59" spans="1:15" s="23" customFormat="1" ht="17.399999999999999">
      <c r="A59" s="20" t="s">
        <v>333</v>
      </c>
      <c r="B59" s="20" t="s">
        <v>334</v>
      </c>
      <c r="C59" s="768" t="s">
        <v>4211</v>
      </c>
      <c r="D59" s="20" t="s">
        <v>335</v>
      </c>
      <c r="E59" s="768" t="s">
        <v>3076</v>
      </c>
      <c r="F59" s="768" t="s">
        <v>336</v>
      </c>
      <c r="G59" s="768" t="s">
        <v>337</v>
      </c>
      <c r="H59" s="20" t="s">
        <v>3423</v>
      </c>
      <c r="I59" s="20" t="s">
        <v>334</v>
      </c>
      <c r="J59" s="20" t="s">
        <v>338</v>
      </c>
      <c r="K59" s="20" t="s">
        <v>339</v>
      </c>
      <c r="L59" s="770" t="s">
        <v>340</v>
      </c>
      <c r="M59" s="20" t="s">
        <v>341</v>
      </c>
      <c r="N59" s="20" t="s">
        <v>342</v>
      </c>
    </row>
    <row r="60" spans="1:15" s="23" customFormat="1">
      <c r="A60" s="658" t="s">
        <v>2838</v>
      </c>
      <c r="B60" s="658" t="s">
        <v>2838</v>
      </c>
      <c r="C60" s="20" t="s">
        <v>4261</v>
      </c>
      <c r="D60" s="658" t="s">
        <v>2838</v>
      </c>
      <c r="E60" s="658" t="s">
        <v>2838</v>
      </c>
      <c r="F60" s="658" t="s">
        <v>2838</v>
      </c>
      <c r="G60" s="658" t="s">
        <v>2838</v>
      </c>
      <c r="H60" s="658" t="s">
        <v>2838</v>
      </c>
      <c r="I60" s="658" t="s">
        <v>2838</v>
      </c>
      <c r="J60" s="658" t="s">
        <v>2838</v>
      </c>
      <c r="K60" s="658" t="s">
        <v>2838</v>
      </c>
      <c r="L60" s="658" t="s">
        <v>2838</v>
      </c>
      <c r="M60" s="658" t="s">
        <v>2838</v>
      </c>
      <c r="N60" s="658" t="s">
        <v>2838</v>
      </c>
      <c r="O60"/>
    </row>
    <row r="61" spans="1:15" s="23" customFormat="1" ht="17.399999999999999">
      <c r="A61" s="20" t="s">
        <v>343</v>
      </c>
      <c r="B61" s="20" t="s">
        <v>344</v>
      </c>
      <c r="C61" s="768" t="s">
        <v>345</v>
      </c>
      <c r="D61" s="20" t="s">
        <v>346</v>
      </c>
      <c r="E61" s="768" t="s">
        <v>3077</v>
      </c>
      <c r="F61" s="768" t="s">
        <v>347</v>
      </c>
      <c r="G61" s="768" t="s">
        <v>348</v>
      </c>
      <c r="H61" s="20" t="s">
        <v>3077</v>
      </c>
      <c r="I61" s="20" t="s">
        <v>349</v>
      </c>
      <c r="J61" s="20" t="s">
        <v>350</v>
      </c>
      <c r="K61" s="20" t="s">
        <v>351</v>
      </c>
      <c r="L61" s="770" t="s">
        <v>352</v>
      </c>
      <c r="M61" s="20" t="s">
        <v>352</v>
      </c>
      <c r="N61" s="20" t="s">
        <v>353</v>
      </c>
    </row>
    <row r="62" spans="1:15" s="23" customFormat="1" ht="17.399999999999999">
      <c r="A62" s="20" t="s">
        <v>354</v>
      </c>
      <c r="B62" s="20" t="s">
        <v>4323</v>
      </c>
      <c r="C62" s="768" t="s">
        <v>355</v>
      </c>
      <c r="D62" s="20" t="s">
        <v>356</v>
      </c>
      <c r="E62" s="768" t="s">
        <v>3078</v>
      </c>
      <c r="F62" s="768" t="s">
        <v>357</v>
      </c>
      <c r="G62" s="768" t="s">
        <v>358</v>
      </c>
      <c r="H62" s="20" t="s">
        <v>3424</v>
      </c>
      <c r="I62" s="20" t="s">
        <v>359</v>
      </c>
      <c r="J62" s="20" t="s">
        <v>360</v>
      </c>
      <c r="K62" s="20" t="s">
        <v>361</v>
      </c>
      <c r="L62" s="770" t="s">
        <v>362</v>
      </c>
      <c r="M62" s="20" t="s">
        <v>362</v>
      </c>
      <c r="N62" s="20" t="s">
        <v>363</v>
      </c>
    </row>
    <row r="63" spans="1:15" s="23" customFormat="1" ht="17.399999999999999">
      <c r="A63" s="20" t="s">
        <v>2107</v>
      </c>
      <c r="B63" s="20" t="s">
        <v>2108</v>
      </c>
      <c r="C63" s="768" t="s">
        <v>2109</v>
      </c>
      <c r="D63" s="20" t="s">
        <v>2110</v>
      </c>
      <c r="E63" s="768" t="s">
        <v>3226</v>
      </c>
      <c r="F63" s="768" t="s">
        <v>2111</v>
      </c>
      <c r="G63" s="768" t="s">
        <v>2112</v>
      </c>
      <c r="H63" s="20" t="s">
        <v>3425</v>
      </c>
      <c r="I63" s="20" t="s">
        <v>2113</v>
      </c>
      <c r="J63" s="20" t="s">
        <v>2114</v>
      </c>
      <c r="K63" s="20" t="s">
        <v>2115</v>
      </c>
      <c r="L63" s="770" t="s">
        <v>2116</v>
      </c>
      <c r="M63" s="20" t="s">
        <v>2117</v>
      </c>
      <c r="N63" s="20" t="s">
        <v>2118</v>
      </c>
    </row>
    <row r="64" spans="1:15" s="23" customFormat="1" ht="17.399999999999999">
      <c r="A64" s="20" t="s">
        <v>364</v>
      </c>
      <c r="B64" s="20" t="s">
        <v>365</v>
      </c>
      <c r="C64" s="768" t="s">
        <v>4262</v>
      </c>
      <c r="D64" s="20" t="s">
        <v>366</v>
      </c>
      <c r="E64" s="768" t="s">
        <v>3079</v>
      </c>
      <c r="F64" s="768" t="s">
        <v>367</v>
      </c>
      <c r="G64" s="768" t="s">
        <v>368</v>
      </c>
      <c r="H64" s="20" t="s">
        <v>3426</v>
      </c>
      <c r="I64" s="20" t="s">
        <v>369</v>
      </c>
      <c r="J64" s="20" t="s">
        <v>370</v>
      </c>
      <c r="K64" s="20" t="s">
        <v>371</v>
      </c>
      <c r="L64" s="770" t="s">
        <v>372</v>
      </c>
      <c r="M64" s="20" t="s">
        <v>373</v>
      </c>
      <c r="N64" s="20" t="s">
        <v>374</v>
      </c>
    </row>
    <row r="65" spans="1:14" s="23" customFormat="1" ht="17.399999999999999">
      <c r="A65" s="20" t="s">
        <v>375</v>
      </c>
      <c r="B65" s="20" t="s">
        <v>375</v>
      </c>
      <c r="C65" s="768" t="s">
        <v>4212</v>
      </c>
      <c r="D65" s="20" t="s">
        <v>376</v>
      </c>
      <c r="E65" s="768" t="s">
        <v>3080</v>
      </c>
      <c r="F65" s="768" t="s">
        <v>377</v>
      </c>
      <c r="G65" s="768" t="s">
        <v>378</v>
      </c>
      <c r="H65" s="20" t="s">
        <v>3427</v>
      </c>
      <c r="I65" s="20" t="s">
        <v>379</v>
      </c>
      <c r="J65" s="20" t="s">
        <v>380</v>
      </c>
      <c r="K65" s="20" t="s">
        <v>381</v>
      </c>
      <c r="L65" s="770" t="s">
        <v>375</v>
      </c>
      <c r="M65" s="20" t="s">
        <v>375</v>
      </c>
      <c r="N65" s="20" t="s">
        <v>382</v>
      </c>
    </row>
    <row r="66" spans="1:14" s="23" customFormat="1" ht="17.399999999999999">
      <c r="A66" s="20" t="s">
        <v>383</v>
      </c>
      <c r="B66" s="20" t="s">
        <v>384</v>
      </c>
      <c r="C66" s="768" t="s">
        <v>4213</v>
      </c>
      <c r="D66" s="20" t="s">
        <v>385</v>
      </c>
      <c r="E66" s="768" t="s">
        <v>3081</v>
      </c>
      <c r="F66" s="768" t="s">
        <v>386</v>
      </c>
      <c r="G66" s="768" t="s">
        <v>387</v>
      </c>
      <c r="H66" s="20" t="s">
        <v>3428</v>
      </c>
      <c r="I66" s="20" t="s">
        <v>388</v>
      </c>
      <c r="J66" s="20" t="s">
        <v>389</v>
      </c>
      <c r="K66" s="20" t="s">
        <v>390</v>
      </c>
      <c r="L66" s="770" t="s">
        <v>391</v>
      </c>
      <c r="M66" s="20" t="s">
        <v>392</v>
      </c>
      <c r="N66" s="20" t="s">
        <v>393</v>
      </c>
    </row>
    <row r="67" spans="1:14" s="23" customFormat="1" ht="17.399999999999999">
      <c r="A67" s="20" t="s">
        <v>394</v>
      </c>
      <c r="B67" s="20" t="s">
        <v>395</v>
      </c>
      <c r="C67" s="768" t="s">
        <v>4214</v>
      </c>
      <c r="D67" s="20" t="s">
        <v>396</v>
      </c>
      <c r="E67" s="768" t="s">
        <v>3082</v>
      </c>
      <c r="F67" s="768" t="s">
        <v>397</v>
      </c>
      <c r="G67" s="768" t="s">
        <v>398</v>
      </c>
      <c r="H67" s="20" t="s">
        <v>3429</v>
      </c>
      <c r="I67" s="20" t="s">
        <v>399</v>
      </c>
      <c r="J67" s="20" t="s">
        <v>400</v>
      </c>
      <c r="K67" s="20" t="s">
        <v>401</v>
      </c>
      <c r="L67" s="770" t="s">
        <v>402</v>
      </c>
      <c r="M67" s="20" t="s">
        <v>403</v>
      </c>
      <c r="N67" s="20" t="s">
        <v>404</v>
      </c>
    </row>
    <row r="68" spans="1:14" s="23" customFormat="1" ht="17.399999999999999">
      <c r="A68" s="20" t="s">
        <v>405</v>
      </c>
      <c r="B68" s="20" t="s">
        <v>406</v>
      </c>
      <c r="C68" s="768" t="s">
        <v>4215</v>
      </c>
      <c r="D68" s="20" t="s">
        <v>407</v>
      </c>
      <c r="E68" s="768" t="s">
        <v>3083</v>
      </c>
      <c r="F68" s="768" t="s">
        <v>408</v>
      </c>
      <c r="G68" s="768" t="s">
        <v>409</v>
      </c>
      <c r="H68" s="20" t="s">
        <v>3430</v>
      </c>
      <c r="I68" s="20" t="s">
        <v>410</v>
      </c>
      <c r="J68" s="20" t="s">
        <v>411</v>
      </c>
      <c r="K68" s="20" t="s">
        <v>412</v>
      </c>
      <c r="L68" s="770" t="s">
        <v>413</v>
      </c>
      <c r="M68" s="20" t="s">
        <v>414</v>
      </c>
      <c r="N68" s="20" t="s">
        <v>415</v>
      </c>
    </row>
    <row r="69" spans="1:14" s="23" customFormat="1" ht="17.399999999999999">
      <c r="A69" s="20" t="s">
        <v>416</v>
      </c>
      <c r="B69" s="20" t="s">
        <v>417</v>
      </c>
      <c r="C69" s="768" t="s">
        <v>4216</v>
      </c>
      <c r="D69" s="20" t="s">
        <v>418</v>
      </c>
      <c r="E69" s="768" t="s">
        <v>3084</v>
      </c>
      <c r="F69" s="768" t="s">
        <v>419</v>
      </c>
      <c r="G69" s="768" t="s">
        <v>420</v>
      </c>
      <c r="H69" s="20" t="s">
        <v>3431</v>
      </c>
      <c r="I69" s="20" t="s">
        <v>421</v>
      </c>
      <c r="J69" s="20" t="s">
        <v>422</v>
      </c>
      <c r="K69" s="20" t="s">
        <v>423</v>
      </c>
      <c r="L69" s="770" t="s">
        <v>424</v>
      </c>
      <c r="M69" s="20" t="s">
        <v>425</v>
      </c>
      <c r="N69" s="20" t="s">
        <v>426</v>
      </c>
    </row>
    <row r="70" spans="1:14" s="23" customFormat="1" ht="34.799999999999997">
      <c r="A70" s="20" t="s">
        <v>3910</v>
      </c>
      <c r="B70" s="20" t="s">
        <v>447</v>
      </c>
      <c r="C70" s="768" t="s">
        <v>4263</v>
      </c>
      <c r="D70" s="20" t="s">
        <v>448</v>
      </c>
      <c r="E70" s="768" t="s">
        <v>3087</v>
      </c>
      <c r="F70" s="768" t="s">
        <v>449</v>
      </c>
      <c r="G70" s="768" t="s">
        <v>450</v>
      </c>
      <c r="H70" s="20" t="s">
        <v>3434</v>
      </c>
      <c r="I70" s="20" t="s">
        <v>451</v>
      </c>
      <c r="J70" s="20" t="s">
        <v>452</v>
      </c>
      <c r="K70" s="20" t="s">
        <v>453</v>
      </c>
      <c r="L70" s="770" t="s">
        <v>454</v>
      </c>
      <c r="M70" s="20" t="s">
        <v>455</v>
      </c>
      <c r="N70" s="20" t="s">
        <v>456</v>
      </c>
    </row>
    <row r="71" spans="1:14" s="23" customFormat="1" ht="34.799999999999997">
      <c r="A71" s="20" t="s">
        <v>3911</v>
      </c>
      <c r="B71" s="20" t="s">
        <v>457</v>
      </c>
      <c r="C71" s="768" t="s">
        <v>4264</v>
      </c>
      <c r="D71" s="20" t="s">
        <v>458</v>
      </c>
      <c r="E71" s="768" t="s">
        <v>3088</v>
      </c>
      <c r="F71" s="768" t="s">
        <v>459</v>
      </c>
      <c r="G71" s="768" t="s">
        <v>460</v>
      </c>
      <c r="H71" s="20" t="s">
        <v>3435</v>
      </c>
      <c r="I71" s="20" t="s">
        <v>461</v>
      </c>
      <c r="J71" s="20" t="s">
        <v>462</v>
      </c>
      <c r="K71" s="20" t="s">
        <v>463</v>
      </c>
      <c r="L71" s="770" t="s">
        <v>464</v>
      </c>
      <c r="M71" s="20" t="s">
        <v>465</v>
      </c>
      <c r="N71" s="20" t="s">
        <v>466</v>
      </c>
    </row>
    <row r="72" spans="1:14" s="23" customFormat="1" ht="17.399999999999999">
      <c r="A72" s="20" t="s">
        <v>3852</v>
      </c>
      <c r="B72" s="20" t="s">
        <v>427</v>
      </c>
      <c r="C72" s="768" t="s">
        <v>4265</v>
      </c>
      <c r="D72" s="20" t="s">
        <v>428</v>
      </c>
      <c r="E72" s="768" t="s">
        <v>3085</v>
      </c>
      <c r="F72" s="768" t="s">
        <v>429</v>
      </c>
      <c r="G72" s="768" t="s">
        <v>430</v>
      </c>
      <c r="H72" s="20" t="s">
        <v>3432</v>
      </c>
      <c r="I72" s="20" t="s">
        <v>431</v>
      </c>
      <c r="J72" s="20" t="s">
        <v>432</v>
      </c>
      <c r="K72" s="20" t="s">
        <v>433</v>
      </c>
      <c r="L72" s="770" t="s">
        <v>434</v>
      </c>
      <c r="M72" s="20" t="s">
        <v>435</v>
      </c>
      <c r="N72" s="20" t="s">
        <v>436</v>
      </c>
    </row>
    <row r="73" spans="1:14" s="23" customFormat="1" ht="28.8">
      <c r="A73" s="20" t="s">
        <v>3853</v>
      </c>
      <c r="B73" s="20" t="s">
        <v>437</v>
      </c>
      <c r="C73" s="768" t="s">
        <v>4266</v>
      </c>
      <c r="D73" s="20" t="s">
        <v>438</v>
      </c>
      <c r="E73" s="768" t="s">
        <v>3086</v>
      </c>
      <c r="F73" s="768" t="s">
        <v>439</v>
      </c>
      <c r="G73" s="768" t="s">
        <v>440</v>
      </c>
      <c r="H73" s="20" t="s">
        <v>3433</v>
      </c>
      <c r="I73" s="20" t="s">
        <v>441</v>
      </c>
      <c r="J73" s="20" t="s">
        <v>442</v>
      </c>
      <c r="K73" s="20" t="s">
        <v>443</v>
      </c>
      <c r="L73" s="770" t="s">
        <v>444</v>
      </c>
      <c r="M73" s="20" t="s">
        <v>445</v>
      </c>
      <c r="N73" s="20" t="s">
        <v>446</v>
      </c>
    </row>
    <row r="74" spans="1:14" s="23" customFormat="1" ht="17.399999999999999">
      <c r="A74" s="20" t="s">
        <v>467</v>
      </c>
      <c r="B74" s="20" t="s">
        <v>468</v>
      </c>
      <c r="C74" s="768" t="s">
        <v>4217</v>
      </c>
      <c r="D74" s="20" t="s">
        <v>469</v>
      </c>
      <c r="E74" s="768" t="s">
        <v>3089</v>
      </c>
      <c r="F74" s="768" t="s">
        <v>470</v>
      </c>
      <c r="G74" s="768" t="s">
        <v>471</v>
      </c>
      <c r="H74" s="20" t="s">
        <v>3436</v>
      </c>
      <c r="I74" s="20" t="s">
        <v>472</v>
      </c>
      <c r="J74" s="20" t="s">
        <v>473</v>
      </c>
      <c r="K74" s="20" t="s">
        <v>474</v>
      </c>
      <c r="L74" s="770" t="s">
        <v>475</v>
      </c>
      <c r="M74" s="20" t="s">
        <v>476</v>
      </c>
      <c r="N74" s="20" t="s">
        <v>477</v>
      </c>
    </row>
    <row r="75" spans="1:14" s="23" customFormat="1" ht="17.399999999999999">
      <c r="A75" s="767" t="s">
        <v>478</v>
      </c>
      <c r="B75" s="767" t="s">
        <v>479</v>
      </c>
      <c r="C75" s="768" t="s">
        <v>4218</v>
      </c>
      <c r="D75" s="767" t="s">
        <v>480</v>
      </c>
      <c r="E75" s="768" t="s">
        <v>3090</v>
      </c>
      <c r="F75" s="768" t="s">
        <v>481</v>
      </c>
      <c r="G75" s="768" t="s">
        <v>888</v>
      </c>
      <c r="H75" s="767" t="s">
        <v>3437</v>
      </c>
      <c r="I75" s="767" t="s">
        <v>483</v>
      </c>
      <c r="J75" s="767" t="s">
        <v>484</v>
      </c>
      <c r="K75" s="767" t="s">
        <v>485</v>
      </c>
      <c r="L75" s="769" t="s">
        <v>486</v>
      </c>
      <c r="M75" s="767" t="s">
        <v>487</v>
      </c>
      <c r="N75" s="767" t="s">
        <v>488</v>
      </c>
    </row>
    <row r="76" spans="1:14" s="23" customFormat="1" ht="17.399999999999999">
      <c r="A76" s="767" t="s">
        <v>489</v>
      </c>
      <c r="B76" s="767" t="s">
        <v>490</v>
      </c>
      <c r="C76" s="768" t="s">
        <v>4219</v>
      </c>
      <c r="D76" s="767" t="s">
        <v>491</v>
      </c>
      <c r="E76" s="768" t="s">
        <v>3091</v>
      </c>
      <c r="F76" s="768" t="s">
        <v>492</v>
      </c>
      <c r="G76" s="768" t="s">
        <v>493</v>
      </c>
      <c r="H76" s="767" t="s">
        <v>3438</v>
      </c>
      <c r="I76" s="767" t="s">
        <v>494</v>
      </c>
      <c r="J76" s="767" t="s">
        <v>495</v>
      </c>
      <c r="K76" s="767" t="s">
        <v>496</v>
      </c>
      <c r="L76" s="769" t="s">
        <v>497</v>
      </c>
      <c r="M76" s="767" t="s">
        <v>498</v>
      </c>
      <c r="N76" s="767" t="s">
        <v>499</v>
      </c>
    </row>
    <row r="77" spans="1:14" s="23" customFormat="1" ht="17.399999999999999">
      <c r="A77" s="20" t="s">
        <v>500</v>
      </c>
      <c r="B77" s="20" t="s">
        <v>501</v>
      </c>
      <c r="C77" s="768" t="s">
        <v>4220</v>
      </c>
      <c r="D77" s="20" t="s">
        <v>502</v>
      </c>
      <c r="E77" s="768" t="s">
        <v>3092</v>
      </c>
      <c r="F77" s="768" t="s">
        <v>503</v>
      </c>
      <c r="G77" s="768" t="s">
        <v>504</v>
      </c>
      <c r="H77" s="20" t="s">
        <v>3439</v>
      </c>
      <c r="I77" s="20" t="s">
        <v>505</v>
      </c>
      <c r="J77" s="20" t="s">
        <v>506</v>
      </c>
      <c r="K77" s="20" t="s">
        <v>507</v>
      </c>
      <c r="L77" s="770" t="s">
        <v>508</v>
      </c>
      <c r="M77" s="20" t="s">
        <v>509</v>
      </c>
      <c r="N77" s="20" t="s">
        <v>510</v>
      </c>
    </row>
    <row r="78" spans="1:14" s="23" customFormat="1" ht="17.399999999999999">
      <c r="A78" s="20" t="s">
        <v>511</v>
      </c>
      <c r="B78" s="20" t="s">
        <v>512</v>
      </c>
      <c r="C78" s="768" t="s">
        <v>4221</v>
      </c>
      <c r="D78" s="20" t="s">
        <v>513</v>
      </c>
      <c r="E78" s="768" t="s">
        <v>3093</v>
      </c>
      <c r="F78" s="768" t="s">
        <v>514</v>
      </c>
      <c r="G78" s="768" t="s">
        <v>515</v>
      </c>
      <c r="H78" s="20" t="s">
        <v>3440</v>
      </c>
      <c r="I78" s="20" t="s">
        <v>516</v>
      </c>
      <c r="J78" s="20" t="s">
        <v>517</v>
      </c>
      <c r="K78" s="20" t="s">
        <v>518</v>
      </c>
      <c r="L78" s="770" t="s">
        <v>519</v>
      </c>
      <c r="M78" s="20" t="s">
        <v>520</v>
      </c>
      <c r="N78" s="20" t="s">
        <v>521</v>
      </c>
    </row>
    <row r="79" spans="1:14" s="23" customFormat="1" ht="17.399999999999999">
      <c r="A79" s="20" t="s">
        <v>522</v>
      </c>
      <c r="B79" s="20" t="s">
        <v>523</v>
      </c>
      <c r="C79" s="768" t="s">
        <v>4222</v>
      </c>
      <c r="D79" s="20" t="s">
        <v>524</v>
      </c>
      <c r="E79" s="768" t="s">
        <v>3094</v>
      </c>
      <c r="F79" s="768" t="s">
        <v>525</v>
      </c>
      <c r="G79" s="768" t="s">
        <v>526</v>
      </c>
      <c r="H79" s="20" t="s">
        <v>3441</v>
      </c>
      <c r="I79" s="20" t="s">
        <v>527</v>
      </c>
      <c r="J79" s="20" t="s">
        <v>528</v>
      </c>
      <c r="K79" s="20" t="s">
        <v>529</v>
      </c>
      <c r="L79" s="770" t="s">
        <v>530</v>
      </c>
      <c r="M79" s="20" t="s">
        <v>531</v>
      </c>
      <c r="N79" s="20" t="s">
        <v>532</v>
      </c>
    </row>
    <row r="80" spans="1:14" s="23" customFormat="1" ht="17.399999999999999">
      <c r="A80" s="20" t="s">
        <v>533</v>
      </c>
      <c r="B80" s="20" t="s">
        <v>534</v>
      </c>
      <c r="C80" s="768" t="s">
        <v>4223</v>
      </c>
      <c r="D80" s="20" t="s">
        <v>535</v>
      </c>
      <c r="E80" s="768" t="s">
        <v>3095</v>
      </c>
      <c r="F80" s="768" t="s">
        <v>536</v>
      </c>
      <c r="G80" s="768" t="s">
        <v>537</v>
      </c>
      <c r="H80" s="20" t="s">
        <v>3442</v>
      </c>
      <c r="I80" s="20" t="s">
        <v>538</v>
      </c>
      <c r="J80" s="20" t="s">
        <v>539</v>
      </c>
      <c r="K80" s="20" t="s">
        <v>540</v>
      </c>
      <c r="L80" s="770" t="s">
        <v>541</v>
      </c>
      <c r="M80" s="20" t="s">
        <v>542</v>
      </c>
      <c r="N80" s="20" t="s">
        <v>543</v>
      </c>
    </row>
    <row r="81" spans="1:15" s="23" customFormat="1" ht="17.399999999999999">
      <c r="A81" s="20" t="s">
        <v>544</v>
      </c>
      <c r="B81" s="20" t="s">
        <v>545</v>
      </c>
      <c r="C81" s="768" t="s">
        <v>4224</v>
      </c>
      <c r="D81" s="20" t="s">
        <v>546</v>
      </c>
      <c r="E81" s="768" t="s">
        <v>3096</v>
      </c>
      <c r="F81" s="768" t="s">
        <v>547</v>
      </c>
      <c r="G81" s="768" t="s">
        <v>548</v>
      </c>
      <c r="H81" s="20" t="s">
        <v>3443</v>
      </c>
      <c r="I81" s="20" t="s">
        <v>549</v>
      </c>
      <c r="J81" s="20" t="s">
        <v>550</v>
      </c>
      <c r="K81" s="20" t="s">
        <v>551</v>
      </c>
      <c r="L81" s="770" t="s">
        <v>552</v>
      </c>
      <c r="M81" s="20" t="s">
        <v>553</v>
      </c>
      <c r="N81" s="20" t="s">
        <v>554</v>
      </c>
    </row>
    <row r="82" spans="1:15" s="23" customFormat="1" ht="17.399999999999999">
      <c r="A82" s="20" t="s">
        <v>555</v>
      </c>
      <c r="B82" s="20" t="s">
        <v>556</v>
      </c>
      <c r="C82" s="768" t="s">
        <v>4225</v>
      </c>
      <c r="D82" s="20" t="s">
        <v>557</v>
      </c>
      <c r="E82" s="768" t="s">
        <v>3097</v>
      </c>
      <c r="F82" s="768" t="s">
        <v>558</v>
      </c>
      <c r="G82" s="768" t="s">
        <v>559</v>
      </c>
      <c r="H82" s="20" t="s">
        <v>3444</v>
      </c>
      <c r="I82" s="20" t="s">
        <v>560</v>
      </c>
      <c r="J82" s="20" t="s">
        <v>561</v>
      </c>
      <c r="K82" s="20" t="s">
        <v>562</v>
      </c>
      <c r="L82" s="770" t="s">
        <v>563</v>
      </c>
      <c r="M82" s="20" t="s">
        <v>564</v>
      </c>
      <c r="N82" s="20" t="s">
        <v>565</v>
      </c>
    </row>
    <row r="83" spans="1:15" s="23" customFormat="1">
      <c r="A83" s="658" t="s">
        <v>3026</v>
      </c>
      <c r="B83" s="658" t="s">
        <v>3026</v>
      </c>
      <c r="C83" s="20" t="s">
        <v>4267</v>
      </c>
      <c r="D83" s="658" t="s">
        <v>3654</v>
      </c>
      <c r="E83" s="658" t="s">
        <v>3331</v>
      </c>
      <c r="F83" s="658" t="s">
        <v>3026</v>
      </c>
      <c r="G83" s="658" t="s">
        <v>3817</v>
      </c>
      <c r="H83" s="658" t="s">
        <v>3445</v>
      </c>
      <c r="I83" s="658" t="s">
        <v>3026</v>
      </c>
      <c r="J83" s="658" t="s">
        <v>3026</v>
      </c>
      <c r="K83" s="658" t="s">
        <v>3372</v>
      </c>
      <c r="L83" s="20" t="s">
        <v>4346</v>
      </c>
      <c r="M83" s="658" t="s">
        <v>3026</v>
      </c>
      <c r="N83" s="658" t="s">
        <v>3026</v>
      </c>
      <c r="O83"/>
    </row>
    <row r="84" spans="1:15" s="23" customFormat="1">
      <c r="A84" s="658" t="s">
        <v>3046</v>
      </c>
      <c r="B84" s="658" t="s">
        <v>3046</v>
      </c>
      <c r="C84" s="20" t="s">
        <v>4256</v>
      </c>
      <c r="D84" s="658" t="s">
        <v>3655</v>
      </c>
      <c r="E84" s="658" t="s">
        <v>3364</v>
      </c>
      <c r="F84" s="658" t="s">
        <v>3046</v>
      </c>
      <c r="G84" s="658" t="s">
        <v>3818</v>
      </c>
      <c r="H84" s="658" t="s">
        <v>3446</v>
      </c>
      <c r="I84" s="658" t="s">
        <v>3046</v>
      </c>
      <c r="J84" s="658" t="s">
        <v>3046</v>
      </c>
      <c r="K84" s="658" t="s">
        <v>3373</v>
      </c>
      <c r="L84" s="20" t="s">
        <v>4347</v>
      </c>
      <c r="M84" s="658" t="s">
        <v>3046</v>
      </c>
      <c r="N84" s="658" t="s">
        <v>3046</v>
      </c>
      <c r="O84"/>
    </row>
    <row r="85" spans="1:15" s="23" customFormat="1" ht="43.2">
      <c r="A85" s="768" t="s">
        <v>1977</v>
      </c>
      <c r="B85" s="768" t="s">
        <v>1978</v>
      </c>
      <c r="C85" s="768" t="s">
        <v>1979</v>
      </c>
      <c r="D85" s="768" t="s">
        <v>3630</v>
      </c>
      <c r="E85" s="768" t="s">
        <v>3215</v>
      </c>
      <c r="F85" s="768" t="s">
        <v>1980</v>
      </c>
      <c r="G85" s="768" t="s">
        <v>1981</v>
      </c>
      <c r="H85" s="768" t="s">
        <v>3383</v>
      </c>
      <c r="I85" s="768" t="s">
        <v>1982</v>
      </c>
      <c r="J85" s="768" t="s">
        <v>1983</v>
      </c>
      <c r="K85" s="768" t="s">
        <v>1984</v>
      </c>
      <c r="L85" s="784" t="s">
        <v>1985</v>
      </c>
      <c r="M85" s="768" t="s">
        <v>1986</v>
      </c>
      <c r="N85" s="768" t="s">
        <v>1987</v>
      </c>
    </row>
    <row r="86" spans="1:15" s="23" customFormat="1" ht="43.2">
      <c r="A86" s="20" t="s">
        <v>1841</v>
      </c>
      <c r="B86" s="20" t="s">
        <v>1842</v>
      </c>
      <c r="C86" s="768" t="s">
        <v>1843</v>
      </c>
      <c r="D86" s="20" t="s">
        <v>1844</v>
      </c>
      <c r="E86" s="768" t="s">
        <v>3203</v>
      </c>
      <c r="F86" s="768" t="s">
        <v>1845</v>
      </c>
      <c r="G86" s="768" t="s">
        <v>1846</v>
      </c>
      <c r="H86" s="20" t="s">
        <v>3447</v>
      </c>
      <c r="I86" s="20" t="s">
        <v>1847</v>
      </c>
      <c r="J86" s="20" t="s">
        <v>1848</v>
      </c>
      <c r="K86" s="20" t="s">
        <v>1849</v>
      </c>
      <c r="L86" s="770" t="s">
        <v>1850</v>
      </c>
      <c r="M86" s="20" t="s">
        <v>1851</v>
      </c>
      <c r="N86" s="20" t="s">
        <v>1852</v>
      </c>
    </row>
    <row r="87" spans="1:15" s="23" customFormat="1" ht="34.799999999999997">
      <c r="A87" s="20" t="s">
        <v>1876</v>
      </c>
      <c r="B87" s="20" t="s">
        <v>1877</v>
      </c>
      <c r="C87" s="768" t="s">
        <v>1878</v>
      </c>
      <c r="D87" s="20" t="s">
        <v>3656</v>
      </c>
      <c r="E87" s="768" t="s">
        <v>3206</v>
      </c>
      <c r="F87" s="768" t="s">
        <v>1879</v>
      </c>
      <c r="G87" s="768" t="s">
        <v>1880</v>
      </c>
      <c r="H87" s="20" t="s">
        <v>3448</v>
      </c>
      <c r="I87" s="20" t="s">
        <v>1881</v>
      </c>
      <c r="J87" s="20" t="s">
        <v>1882</v>
      </c>
      <c r="K87" s="20" t="s">
        <v>1883</v>
      </c>
      <c r="L87" s="770" t="s">
        <v>1884</v>
      </c>
      <c r="M87" s="20" t="s">
        <v>1885</v>
      </c>
      <c r="N87" s="20" t="s">
        <v>1886</v>
      </c>
    </row>
    <row r="88" spans="1:15" s="23" customFormat="1" ht="17.399999999999999">
      <c r="A88" s="20" t="s">
        <v>566</v>
      </c>
      <c r="B88" s="20" t="s">
        <v>567</v>
      </c>
      <c r="C88" s="768" t="s">
        <v>568</v>
      </c>
      <c r="D88" s="20" t="s">
        <v>569</v>
      </c>
      <c r="E88" s="768" t="s">
        <v>3098</v>
      </c>
      <c r="F88" s="768" t="s">
        <v>570</v>
      </c>
      <c r="G88" s="768" t="s">
        <v>571</v>
      </c>
      <c r="H88" s="20" t="s">
        <v>3449</v>
      </c>
      <c r="I88" s="20" t="s">
        <v>572</v>
      </c>
      <c r="J88" s="20" t="s">
        <v>573</v>
      </c>
      <c r="K88" s="20" t="s">
        <v>574</v>
      </c>
      <c r="L88" s="770" t="s">
        <v>575</v>
      </c>
      <c r="M88" s="20" t="s">
        <v>576</v>
      </c>
      <c r="N88" s="20" t="s">
        <v>577</v>
      </c>
    </row>
    <row r="89" spans="1:15" s="23" customFormat="1" ht="17.399999999999999">
      <c r="A89" s="20" t="s">
        <v>578</v>
      </c>
      <c r="B89" s="20" t="s">
        <v>579</v>
      </c>
      <c r="C89" s="768" t="s">
        <v>580</v>
      </c>
      <c r="D89" s="20" t="s">
        <v>581</v>
      </c>
      <c r="E89" s="768" t="s">
        <v>578</v>
      </c>
      <c r="F89" s="768" t="s">
        <v>582</v>
      </c>
      <c r="G89" s="768" t="s">
        <v>583</v>
      </c>
      <c r="H89" s="20" t="s">
        <v>583</v>
      </c>
      <c r="I89" s="20" t="s">
        <v>578</v>
      </c>
      <c r="J89" s="20" t="s">
        <v>584</v>
      </c>
      <c r="K89" s="20" t="s">
        <v>578</v>
      </c>
      <c r="L89" s="770" t="s">
        <v>585</v>
      </c>
      <c r="M89" s="20" t="s">
        <v>585</v>
      </c>
      <c r="N89" s="20" t="s">
        <v>578</v>
      </c>
    </row>
    <row r="90" spans="1:15" s="23" customFormat="1" ht="17.399999999999999">
      <c r="A90" s="767" t="s">
        <v>3337</v>
      </c>
      <c r="B90" s="767" t="s">
        <v>4324</v>
      </c>
      <c r="C90" s="768" t="s">
        <v>4268</v>
      </c>
      <c r="D90" s="767" t="s">
        <v>4325</v>
      </c>
      <c r="E90" s="768" t="s">
        <v>3338</v>
      </c>
      <c r="F90" s="768" t="s">
        <v>3339</v>
      </c>
      <c r="G90" s="768" t="s">
        <v>3340</v>
      </c>
      <c r="H90" s="767" t="s">
        <v>3624</v>
      </c>
      <c r="I90" s="767" t="s">
        <v>3341</v>
      </c>
      <c r="J90" s="767" t="s">
        <v>3342</v>
      </c>
      <c r="K90" s="767" t="s">
        <v>3343</v>
      </c>
      <c r="L90" s="769" t="s">
        <v>3344</v>
      </c>
      <c r="M90" s="767" t="s">
        <v>3345</v>
      </c>
      <c r="N90" s="767" t="s">
        <v>3346</v>
      </c>
    </row>
    <row r="91" spans="1:15" s="23" customFormat="1" ht="17.399999999999999">
      <c r="A91" s="767" t="s">
        <v>586</v>
      </c>
      <c r="B91" s="767" t="s">
        <v>587</v>
      </c>
      <c r="C91" s="768" t="s">
        <v>4226</v>
      </c>
      <c r="D91" s="767" t="s">
        <v>588</v>
      </c>
      <c r="E91" s="768" t="s">
        <v>3099</v>
      </c>
      <c r="F91" s="768" t="s">
        <v>589</v>
      </c>
      <c r="G91" s="768" t="s">
        <v>590</v>
      </c>
      <c r="H91" s="767" t="s">
        <v>3450</v>
      </c>
      <c r="I91" s="767" t="s">
        <v>591</v>
      </c>
      <c r="J91" s="767" t="s">
        <v>592</v>
      </c>
      <c r="K91" s="767" t="s">
        <v>593</v>
      </c>
      <c r="L91" s="769" t="s">
        <v>594</v>
      </c>
      <c r="M91" s="767" t="s">
        <v>595</v>
      </c>
      <c r="N91" s="767" t="s">
        <v>596</v>
      </c>
    </row>
    <row r="92" spans="1:15" s="23" customFormat="1" ht="17.399999999999999">
      <c r="A92" s="767" t="s">
        <v>597</v>
      </c>
      <c r="B92" s="767" t="s">
        <v>598</v>
      </c>
      <c r="C92" s="768" t="s">
        <v>4227</v>
      </c>
      <c r="D92" s="767" t="s">
        <v>599</v>
      </c>
      <c r="E92" s="768" t="s">
        <v>3100</v>
      </c>
      <c r="F92" s="768" t="s">
        <v>600</v>
      </c>
      <c r="G92" s="768" t="s">
        <v>601</v>
      </c>
      <c r="H92" s="767" t="s">
        <v>3451</v>
      </c>
      <c r="I92" s="767" t="s">
        <v>602</v>
      </c>
      <c r="J92" s="767" t="s">
        <v>603</v>
      </c>
      <c r="K92" s="767" t="s">
        <v>604</v>
      </c>
      <c r="L92" s="769" t="s">
        <v>605</v>
      </c>
      <c r="M92" s="767" t="s">
        <v>606</v>
      </c>
      <c r="N92" s="767" t="s">
        <v>607</v>
      </c>
    </row>
    <row r="93" spans="1:15" s="23" customFormat="1" ht="17.399999999999999">
      <c r="A93" s="767" t="s">
        <v>608</v>
      </c>
      <c r="B93" s="767" t="s">
        <v>609</v>
      </c>
      <c r="C93" s="768" t="s">
        <v>610</v>
      </c>
      <c r="D93" s="767" t="s">
        <v>611</v>
      </c>
      <c r="E93" s="768" t="s">
        <v>3101</v>
      </c>
      <c r="F93" s="768" t="s">
        <v>612</v>
      </c>
      <c r="G93" s="768" t="s">
        <v>613</v>
      </c>
      <c r="H93" s="767" t="s">
        <v>3452</v>
      </c>
      <c r="I93" s="767" t="s">
        <v>614</v>
      </c>
      <c r="J93" s="767" t="s">
        <v>615</v>
      </c>
      <c r="K93" s="767" t="s">
        <v>616</v>
      </c>
      <c r="L93" s="769" t="s">
        <v>617</v>
      </c>
      <c r="M93" s="767" t="s">
        <v>618</v>
      </c>
      <c r="N93" s="767" t="s">
        <v>619</v>
      </c>
    </row>
    <row r="94" spans="1:15" s="23" customFormat="1" ht="17.399999999999999">
      <c r="A94" s="20" t="s">
        <v>620</v>
      </c>
      <c r="B94" s="20" t="s">
        <v>621</v>
      </c>
      <c r="C94" s="768" t="s">
        <v>622</v>
      </c>
      <c r="D94" s="20" t="s">
        <v>623</v>
      </c>
      <c r="E94" s="768" t="s">
        <v>3102</v>
      </c>
      <c r="F94" s="768" t="s">
        <v>624</v>
      </c>
      <c r="G94" s="768" t="s">
        <v>625</v>
      </c>
      <c r="H94" s="20" t="s">
        <v>3453</v>
      </c>
      <c r="I94" s="20" t="s">
        <v>626</v>
      </c>
      <c r="J94" s="20" t="s">
        <v>627</v>
      </c>
      <c r="K94" s="783" t="s">
        <v>628</v>
      </c>
      <c r="L94" s="770" t="s">
        <v>629</v>
      </c>
      <c r="M94" s="20" t="s">
        <v>630</v>
      </c>
      <c r="N94" s="20" t="s">
        <v>631</v>
      </c>
    </row>
    <row r="95" spans="1:15" s="23" customFormat="1">
      <c r="A95" s="23" t="s">
        <v>2297</v>
      </c>
      <c r="B95" s="773" t="s">
        <v>2298</v>
      </c>
      <c r="C95" s="23" t="s">
        <v>2299</v>
      </c>
      <c r="D95" s="23" t="s">
        <v>3657</v>
      </c>
      <c r="E95" s="23" t="s">
        <v>3244</v>
      </c>
      <c r="F95" s="23" t="s">
        <v>2297</v>
      </c>
      <c r="G95" s="23" t="s">
        <v>2300</v>
      </c>
      <c r="H95" s="23" t="s">
        <v>3454</v>
      </c>
      <c r="I95" s="23" t="s">
        <v>2301</v>
      </c>
      <c r="J95" s="23" t="s">
        <v>2302</v>
      </c>
      <c r="K95" s="23" t="s">
        <v>2303</v>
      </c>
      <c r="L95" s="773" t="s">
        <v>2304</v>
      </c>
      <c r="M95" s="23" t="s">
        <v>2305</v>
      </c>
      <c r="N95" s="773" t="s">
        <v>2306</v>
      </c>
    </row>
    <row r="96" spans="1:15" s="23" customFormat="1" ht="19.8">
      <c r="A96" s="794" t="s">
        <v>2054</v>
      </c>
      <c r="B96" s="794" t="s">
        <v>2055</v>
      </c>
      <c r="C96" s="768" t="s">
        <v>2056</v>
      </c>
      <c r="D96" s="794" t="s">
        <v>3658</v>
      </c>
      <c r="E96" s="768" t="s">
        <v>3222</v>
      </c>
      <c r="F96" s="768" t="s">
        <v>2057</v>
      </c>
      <c r="G96" s="768" t="s">
        <v>2058</v>
      </c>
      <c r="H96" s="794" t="s">
        <v>3455</v>
      </c>
      <c r="I96" s="794" t="s">
        <v>2059</v>
      </c>
      <c r="J96" s="794" t="s">
        <v>2060</v>
      </c>
      <c r="K96" s="794" t="s">
        <v>2061</v>
      </c>
      <c r="L96" s="795" t="s">
        <v>2062</v>
      </c>
      <c r="M96" s="794" t="s">
        <v>2063</v>
      </c>
      <c r="N96" s="794" t="s">
        <v>2064</v>
      </c>
    </row>
    <row r="97" spans="1:14" s="23" customFormat="1" ht="17.399999999999999">
      <c r="A97" s="767" t="s">
        <v>632</v>
      </c>
      <c r="B97" s="767" t="s">
        <v>633</v>
      </c>
      <c r="C97" s="768" t="s">
        <v>4228</v>
      </c>
      <c r="D97" s="767" t="s">
        <v>634</v>
      </c>
      <c r="E97" s="768" t="s">
        <v>3103</v>
      </c>
      <c r="F97" s="768" t="s">
        <v>635</v>
      </c>
      <c r="G97" s="768" t="s">
        <v>636</v>
      </c>
      <c r="H97" s="767" t="s">
        <v>3456</v>
      </c>
      <c r="I97" s="767" t="s">
        <v>637</v>
      </c>
      <c r="J97" s="767" t="s">
        <v>638</v>
      </c>
      <c r="K97" s="767" t="s">
        <v>639</v>
      </c>
      <c r="L97" s="769" t="s">
        <v>640</v>
      </c>
      <c r="M97" s="767" t="s">
        <v>641</v>
      </c>
      <c r="N97" s="767" t="s">
        <v>642</v>
      </c>
    </row>
    <row r="98" spans="1:14" s="23" customFormat="1" ht="17.399999999999999">
      <c r="A98" s="767" t="s">
        <v>643</v>
      </c>
      <c r="B98" s="767" t="s">
        <v>644</v>
      </c>
      <c r="C98" s="768" t="s">
        <v>4229</v>
      </c>
      <c r="D98" s="767" t="s">
        <v>645</v>
      </c>
      <c r="E98" s="768" t="s">
        <v>3104</v>
      </c>
      <c r="F98" s="768" t="s">
        <v>646</v>
      </c>
      <c r="G98" s="768" t="s">
        <v>647</v>
      </c>
      <c r="H98" s="767" t="s">
        <v>3457</v>
      </c>
      <c r="I98" s="767" t="s">
        <v>648</v>
      </c>
      <c r="J98" s="767" t="s">
        <v>649</v>
      </c>
      <c r="K98" s="767" t="s">
        <v>650</v>
      </c>
      <c r="L98" s="769" t="s">
        <v>651</v>
      </c>
      <c r="M98" s="767" t="s">
        <v>652</v>
      </c>
      <c r="N98" s="767" t="s">
        <v>653</v>
      </c>
    </row>
    <row r="99" spans="1:14" s="23" customFormat="1">
      <c r="A99" s="20" t="s">
        <v>3770</v>
      </c>
      <c r="B99" s="20" t="s">
        <v>4326</v>
      </c>
      <c r="C99" s="20" t="s">
        <v>4269</v>
      </c>
      <c r="D99" s="20" t="s">
        <v>3770</v>
      </c>
      <c r="E99" s="20" t="s">
        <v>3770</v>
      </c>
      <c r="F99" s="20" t="s">
        <v>3770</v>
      </c>
      <c r="G99" s="20" t="s">
        <v>3829</v>
      </c>
      <c r="H99" s="20" t="s">
        <v>3770</v>
      </c>
      <c r="I99" s="20" t="s">
        <v>3770</v>
      </c>
      <c r="J99" s="20" t="s">
        <v>3770</v>
      </c>
      <c r="K99" s="20" t="s">
        <v>3770</v>
      </c>
      <c r="L99" s="20" t="s">
        <v>4348</v>
      </c>
      <c r="M99" s="20" t="s">
        <v>3770</v>
      </c>
      <c r="N99" s="20" t="s">
        <v>3770</v>
      </c>
    </row>
    <row r="100" spans="1:14" s="23" customFormat="1">
      <c r="A100" s="20" t="s">
        <v>3771</v>
      </c>
      <c r="B100" s="20" t="s">
        <v>4327</v>
      </c>
      <c r="C100" s="20" t="s">
        <v>4270</v>
      </c>
      <c r="D100" s="20" t="s">
        <v>3771</v>
      </c>
      <c r="E100" s="20" t="s">
        <v>3771</v>
      </c>
      <c r="F100" s="20" t="s">
        <v>3771</v>
      </c>
      <c r="G100" s="20" t="s">
        <v>3830</v>
      </c>
      <c r="H100" s="20" t="s">
        <v>3771</v>
      </c>
      <c r="I100" s="20" t="s">
        <v>3771</v>
      </c>
      <c r="J100" s="20" t="s">
        <v>3771</v>
      </c>
      <c r="K100" s="20" t="s">
        <v>3771</v>
      </c>
      <c r="L100" s="20" t="s">
        <v>4349</v>
      </c>
      <c r="M100" s="20" t="s">
        <v>3771</v>
      </c>
      <c r="N100" s="20" t="s">
        <v>3771</v>
      </c>
    </row>
    <row r="101" spans="1:14" s="23" customFormat="1" ht="34.799999999999997">
      <c r="A101" s="20" t="s">
        <v>1887</v>
      </c>
      <c r="B101" s="20" t="s">
        <v>1888</v>
      </c>
      <c r="C101" s="768" t="s">
        <v>1889</v>
      </c>
      <c r="D101" s="20" t="s">
        <v>3659</v>
      </c>
      <c r="E101" s="768" t="s">
        <v>3207</v>
      </c>
      <c r="F101" s="768" t="s">
        <v>1890</v>
      </c>
      <c r="G101" s="768" t="s">
        <v>1891</v>
      </c>
      <c r="H101" s="20" t="s">
        <v>3458</v>
      </c>
      <c r="I101" s="20" t="s">
        <v>1892</v>
      </c>
      <c r="J101" s="20" t="s">
        <v>1893</v>
      </c>
      <c r="K101" s="20" t="s">
        <v>1894</v>
      </c>
      <c r="L101" s="770" t="s">
        <v>1895</v>
      </c>
      <c r="M101" s="20" t="s">
        <v>1896</v>
      </c>
      <c r="N101" s="20" t="s">
        <v>1897</v>
      </c>
    </row>
    <row r="102" spans="1:14" s="23" customFormat="1" ht="43.2">
      <c r="A102" s="20" t="s">
        <v>1865</v>
      </c>
      <c r="B102" s="20" t="s">
        <v>1866</v>
      </c>
      <c r="C102" s="768" t="s">
        <v>1867</v>
      </c>
      <c r="D102" s="20" t="s">
        <v>3660</v>
      </c>
      <c r="E102" s="768" t="s">
        <v>3205</v>
      </c>
      <c r="F102" s="768" t="s">
        <v>1868</v>
      </c>
      <c r="G102" s="768" t="s">
        <v>1869</v>
      </c>
      <c r="H102" s="20" t="s">
        <v>3459</v>
      </c>
      <c r="I102" s="20" t="s">
        <v>1870</v>
      </c>
      <c r="J102" s="20" t="s">
        <v>1871</v>
      </c>
      <c r="K102" s="20" t="s">
        <v>1872</v>
      </c>
      <c r="L102" s="770" t="s">
        <v>1873</v>
      </c>
      <c r="M102" s="20" t="s">
        <v>1874</v>
      </c>
      <c r="N102" s="20" t="s">
        <v>1875</v>
      </c>
    </row>
    <row r="103" spans="1:14" s="23" customFormat="1">
      <c r="A103" s="23" t="s">
        <v>3950</v>
      </c>
      <c r="B103" s="773" t="s">
        <v>3781</v>
      </c>
      <c r="C103" s="23" t="s">
        <v>4271</v>
      </c>
      <c r="D103" s="23" t="s">
        <v>3951</v>
      </c>
      <c r="E103" s="23" t="s">
        <v>3952</v>
      </c>
      <c r="F103" s="23" t="s">
        <v>3950</v>
      </c>
      <c r="G103" s="23" t="s">
        <v>3782</v>
      </c>
      <c r="H103" s="23" t="s">
        <v>3783</v>
      </c>
      <c r="I103" s="23" t="s">
        <v>3784</v>
      </c>
      <c r="J103" s="23" t="s">
        <v>3785</v>
      </c>
      <c r="K103" s="23" t="s">
        <v>3786</v>
      </c>
      <c r="L103" s="773" t="s">
        <v>3953</v>
      </c>
      <c r="M103" s="23" t="s">
        <v>3954</v>
      </c>
      <c r="N103" s="773" t="s">
        <v>3955</v>
      </c>
    </row>
    <row r="104" spans="1:14" s="23" customFormat="1" ht="28.8">
      <c r="A104" s="23" t="s">
        <v>2307</v>
      </c>
      <c r="B104" s="773" t="s">
        <v>2308</v>
      </c>
      <c r="C104" s="23" t="s">
        <v>2309</v>
      </c>
      <c r="D104" s="23" t="s">
        <v>3661</v>
      </c>
      <c r="E104" s="23" t="s">
        <v>3245</v>
      </c>
      <c r="F104" s="23" t="s">
        <v>2307</v>
      </c>
      <c r="G104" s="23" t="s">
        <v>2310</v>
      </c>
      <c r="H104" s="23" t="s">
        <v>3460</v>
      </c>
      <c r="I104" s="23" t="s">
        <v>2311</v>
      </c>
      <c r="J104" s="23" t="s">
        <v>2312</v>
      </c>
      <c r="K104" s="23" t="s">
        <v>2313</v>
      </c>
      <c r="L104" s="773" t="s">
        <v>2314</v>
      </c>
      <c r="M104" s="23" t="s">
        <v>2315</v>
      </c>
      <c r="N104" s="773" t="s">
        <v>2316</v>
      </c>
    </row>
    <row r="105" spans="1:14" s="23" customFormat="1" ht="34.799999999999997">
      <c r="A105" s="20" t="s">
        <v>1853</v>
      </c>
      <c r="B105" s="20" t="s">
        <v>1854</v>
      </c>
      <c r="C105" s="768" t="s">
        <v>1855</v>
      </c>
      <c r="D105" s="20" t="s">
        <v>1856</v>
      </c>
      <c r="E105" s="768" t="s">
        <v>3204</v>
      </c>
      <c r="F105" s="768" t="s">
        <v>1857</v>
      </c>
      <c r="G105" s="768" t="s">
        <v>1858</v>
      </c>
      <c r="H105" s="20" t="s">
        <v>3461</v>
      </c>
      <c r="I105" s="20" t="s">
        <v>1859</v>
      </c>
      <c r="J105" s="20" t="s">
        <v>1860</v>
      </c>
      <c r="K105" s="783" t="s">
        <v>1861</v>
      </c>
      <c r="L105" s="770" t="s">
        <v>1862</v>
      </c>
      <c r="M105" s="20" t="s">
        <v>1863</v>
      </c>
      <c r="N105" s="20" t="s">
        <v>1864</v>
      </c>
    </row>
    <row r="106" spans="1:14" s="23" customFormat="1" ht="17.399999999999999">
      <c r="A106" s="20" t="s">
        <v>654</v>
      </c>
      <c r="B106" s="20" t="s">
        <v>655</v>
      </c>
      <c r="C106" s="768" t="s">
        <v>4272</v>
      </c>
      <c r="D106" s="20" t="s">
        <v>656</v>
      </c>
      <c r="E106" s="768" t="s">
        <v>3105</v>
      </c>
      <c r="F106" s="768" t="s">
        <v>657</v>
      </c>
      <c r="G106" s="768" t="s">
        <v>658</v>
      </c>
      <c r="H106" s="20" t="s">
        <v>3462</v>
      </c>
      <c r="I106" s="20" t="s">
        <v>659</v>
      </c>
      <c r="J106" s="20" t="s">
        <v>660</v>
      </c>
      <c r="K106" s="20" t="s">
        <v>661</v>
      </c>
      <c r="L106" s="770" t="s">
        <v>662</v>
      </c>
      <c r="M106" s="20" t="s">
        <v>663</v>
      </c>
      <c r="N106" s="20" t="s">
        <v>664</v>
      </c>
    </row>
    <row r="107" spans="1:14" s="23" customFormat="1">
      <c r="A107" s="23" t="s">
        <v>2317</v>
      </c>
      <c r="B107" s="773" t="s">
        <v>2318</v>
      </c>
      <c r="C107" s="23" t="s">
        <v>2319</v>
      </c>
      <c r="D107" s="23" t="s">
        <v>3662</v>
      </c>
      <c r="E107" s="23" t="s">
        <v>3246</v>
      </c>
      <c r="F107" s="23" t="s">
        <v>2317</v>
      </c>
      <c r="G107" s="23" t="s">
        <v>2320</v>
      </c>
      <c r="H107" s="23" t="s">
        <v>3463</v>
      </c>
      <c r="I107" s="23" t="s">
        <v>2321</v>
      </c>
      <c r="J107" s="23" t="s">
        <v>2322</v>
      </c>
      <c r="K107" s="23" t="s">
        <v>2323</v>
      </c>
      <c r="L107" s="773" t="s">
        <v>2324</v>
      </c>
      <c r="M107" s="23" t="s">
        <v>2325</v>
      </c>
      <c r="N107" s="773" t="s">
        <v>2326</v>
      </c>
    </row>
    <row r="108" spans="1:14" s="23" customFormat="1">
      <c r="A108" s="23" t="s">
        <v>2327</v>
      </c>
      <c r="B108" s="773" t="s">
        <v>2328</v>
      </c>
      <c r="C108" s="23" t="s">
        <v>2329</v>
      </c>
      <c r="D108" s="23" t="s">
        <v>3663</v>
      </c>
      <c r="E108" s="23" t="s">
        <v>3247</v>
      </c>
      <c r="F108" s="23" t="s">
        <v>2327</v>
      </c>
      <c r="G108" s="23" t="s">
        <v>2330</v>
      </c>
      <c r="H108" s="23" t="s">
        <v>3464</v>
      </c>
      <c r="I108" s="23" t="s">
        <v>2331</v>
      </c>
      <c r="J108" s="23" t="s">
        <v>2332</v>
      </c>
      <c r="K108" s="23" t="s">
        <v>2333</v>
      </c>
      <c r="L108" s="773" t="s">
        <v>2334</v>
      </c>
      <c r="M108" s="23" t="s">
        <v>2335</v>
      </c>
      <c r="N108" s="773" t="s">
        <v>2336</v>
      </c>
    </row>
    <row r="109" spans="1:14" s="23" customFormat="1">
      <c r="A109" s="23" t="s">
        <v>2337</v>
      </c>
      <c r="B109" s="773" t="s">
        <v>2338</v>
      </c>
      <c r="C109" s="23" t="s">
        <v>2339</v>
      </c>
      <c r="D109" s="23" t="s">
        <v>3664</v>
      </c>
      <c r="E109" s="23" t="s">
        <v>3248</v>
      </c>
      <c r="F109" s="23" t="s">
        <v>2337</v>
      </c>
      <c r="G109" s="23" t="s">
        <v>2340</v>
      </c>
      <c r="H109" s="23" t="s">
        <v>3465</v>
      </c>
      <c r="I109" s="23" t="s">
        <v>2341</v>
      </c>
      <c r="J109" s="23" t="s">
        <v>2342</v>
      </c>
      <c r="K109" s="23" t="s">
        <v>2343</v>
      </c>
      <c r="L109" s="773" t="s">
        <v>2344</v>
      </c>
      <c r="M109" s="23" t="s">
        <v>2345</v>
      </c>
      <c r="N109" s="773" t="s">
        <v>2346</v>
      </c>
    </row>
    <row r="110" spans="1:14" s="23" customFormat="1">
      <c r="A110" s="23" t="s">
        <v>2347</v>
      </c>
      <c r="B110" s="773" t="s">
        <v>2348</v>
      </c>
      <c r="C110" s="23" t="s">
        <v>2349</v>
      </c>
      <c r="D110" s="23" t="s">
        <v>3665</v>
      </c>
      <c r="E110" s="23" t="s">
        <v>3249</v>
      </c>
      <c r="F110" s="23" t="s">
        <v>2347</v>
      </c>
      <c r="G110" s="23" t="s">
        <v>2350</v>
      </c>
      <c r="H110" s="23" t="s">
        <v>3466</v>
      </c>
      <c r="I110" s="23" t="s">
        <v>2351</v>
      </c>
      <c r="J110" s="23" t="s">
        <v>2352</v>
      </c>
      <c r="K110" s="23" t="s">
        <v>2353</v>
      </c>
      <c r="L110" s="773" t="s">
        <v>2354</v>
      </c>
      <c r="M110" s="23" t="s">
        <v>2355</v>
      </c>
      <c r="N110" s="773" t="s">
        <v>2356</v>
      </c>
    </row>
    <row r="111" spans="1:14" s="23" customFormat="1">
      <c r="A111" s="23" t="s">
        <v>2357</v>
      </c>
      <c r="B111" s="773" t="s">
        <v>2358</v>
      </c>
      <c r="C111" s="23" t="s">
        <v>2359</v>
      </c>
      <c r="D111" s="23" t="s">
        <v>3666</v>
      </c>
      <c r="E111" s="23" t="s">
        <v>3250</v>
      </c>
      <c r="F111" s="23" t="s">
        <v>2357</v>
      </c>
      <c r="G111" s="23" t="s">
        <v>2360</v>
      </c>
      <c r="H111" s="23" t="s">
        <v>3467</v>
      </c>
      <c r="I111" s="23" t="s">
        <v>2361</v>
      </c>
      <c r="J111" s="23" t="s">
        <v>2362</v>
      </c>
      <c r="K111" s="23" t="s">
        <v>2363</v>
      </c>
      <c r="L111" s="773" t="s">
        <v>2364</v>
      </c>
      <c r="M111" s="23" t="s">
        <v>2364</v>
      </c>
      <c r="N111" s="773" t="s">
        <v>2365</v>
      </c>
    </row>
    <row r="112" spans="1:14" s="23" customFormat="1">
      <c r="A112" s="23" t="s">
        <v>2366</v>
      </c>
      <c r="B112" s="773" t="s">
        <v>2367</v>
      </c>
      <c r="C112" s="23" t="s">
        <v>2368</v>
      </c>
      <c r="D112" s="23" t="s">
        <v>2366</v>
      </c>
      <c r="E112" s="23" t="s">
        <v>2366</v>
      </c>
      <c r="F112" s="23" t="s">
        <v>2366</v>
      </c>
      <c r="G112" s="23" t="s">
        <v>2366</v>
      </c>
      <c r="H112" s="23" t="s">
        <v>2371</v>
      </c>
      <c r="I112" s="23" t="s">
        <v>2369</v>
      </c>
      <c r="J112" s="23" t="s">
        <v>2370</v>
      </c>
      <c r="K112" s="23" t="s">
        <v>2370</v>
      </c>
      <c r="L112" s="773" t="s">
        <v>2370</v>
      </c>
      <c r="M112" s="23" t="s">
        <v>2370</v>
      </c>
      <c r="N112" s="773" t="s">
        <v>2371</v>
      </c>
    </row>
    <row r="113" spans="1:15" s="23" customFormat="1" ht="52.2">
      <c r="A113" s="768" t="s">
        <v>1966</v>
      </c>
      <c r="B113" s="768" t="s">
        <v>1967</v>
      </c>
      <c r="C113" s="768" t="s">
        <v>1968</v>
      </c>
      <c r="D113" s="768" t="s">
        <v>3629</v>
      </c>
      <c r="E113" s="768" t="s">
        <v>3214</v>
      </c>
      <c r="F113" s="768" t="s">
        <v>1969</v>
      </c>
      <c r="G113" s="768" t="s">
        <v>1970</v>
      </c>
      <c r="H113" s="768" t="s">
        <v>3382</v>
      </c>
      <c r="I113" s="768" t="s">
        <v>1971</v>
      </c>
      <c r="J113" s="768" t="s">
        <v>1972</v>
      </c>
      <c r="K113" s="768" t="s">
        <v>1973</v>
      </c>
      <c r="L113" s="784" t="s">
        <v>1974</v>
      </c>
      <c r="M113" s="768" t="s">
        <v>1975</v>
      </c>
      <c r="N113" s="768" t="s">
        <v>1976</v>
      </c>
    </row>
    <row r="114" spans="1:15" s="23" customFormat="1" ht="17.399999999999999">
      <c r="A114" s="20" t="s">
        <v>665</v>
      </c>
      <c r="B114" s="20" t="s">
        <v>666</v>
      </c>
      <c r="C114" s="768" t="s">
        <v>4230</v>
      </c>
      <c r="D114" s="20" t="s">
        <v>667</v>
      </c>
      <c r="E114" s="768" t="s">
        <v>3106</v>
      </c>
      <c r="F114" s="768" t="s">
        <v>668</v>
      </c>
      <c r="G114" s="768" t="s">
        <v>669</v>
      </c>
      <c r="H114" s="20" t="s">
        <v>3468</v>
      </c>
      <c r="I114" s="20" t="s">
        <v>670</v>
      </c>
      <c r="J114" s="20" t="s">
        <v>671</v>
      </c>
      <c r="K114" s="20" t="s">
        <v>672</v>
      </c>
      <c r="L114" s="770" t="s">
        <v>673</v>
      </c>
      <c r="M114" s="20" t="s">
        <v>674</v>
      </c>
      <c r="N114" s="20" t="s">
        <v>675</v>
      </c>
    </row>
    <row r="115" spans="1:15" s="23" customFormat="1" ht="17.399999999999999">
      <c r="A115" s="20" t="s">
        <v>676</v>
      </c>
      <c r="B115" s="20" t="s">
        <v>677</v>
      </c>
      <c r="C115" s="768" t="s">
        <v>678</v>
      </c>
      <c r="D115" s="20" t="s">
        <v>679</v>
      </c>
      <c r="E115" s="768" t="s">
        <v>3107</v>
      </c>
      <c r="F115" s="768" t="s">
        <v>680</v>
      </c>
      <c r="G115" s="768" t="s">
        <v>681</v>
      </c>
      <c r="H115" s="20" t="s">
        <v>3107</v>
      </c>
      <c r="I115" s="20" t="s">
        <v>682</v>
      </c>
      <c r="J115" s="20" t="s">
        <v>683</v>
      </c>
      <c r="K115" s="20" t="s">
        <v>684</v>
      </c>
      <c r="L115" s="770" t="s">
        <v>685</v>
      </c>
      <c r="M115" s="20" t="s">
        <v>684</v>
      </c>
      <c r="N115" s="20" t="s">
        <v>686</v>
      </c>
    </row>
    <row r="116" spans="1:15" s="23" customFormat="1" ht="17.399999999999999">
      <c r="A116" s="20" t="s">
        <v>1819</v>
      </c>
      <c r="B116" s="20" t="s">
        <v>1820</v>
      </c>
      <c r="C116" s="768" t="s">
        <v>1821</v>
      </c>
      <c r="D116" s="20" t="s">
        <v>1822</v>
      </c>
      <c r="E116" s="768" t="s">
        <v>3201</v>
      </c>
      <c r="F116" s="768" t="s">
        <v>1823</v>
      </c>
      <c r="G116" s="768" t="s">
        <v>1824</v>
      </c>
      <c r="H116" s="20" t="s">
        <v>3469</v>
      </c>
      <c r="I116" s="20" t="s">
        <v>1825</v>
      </c>
      <c r="J116" s="20" t="s">
        <v>1826</v>
      </c>
      <c r="K116" s="20" t="s">
        <v>1827</v>
      </c>
      <c r="L116" s="770" t="s">
        <v>1828</v>
      </c>
      <c r="M116" s="20" t="s">
        <v>1828</v>
      </c>
      <c r="N116" s="20" t="s">
        <v>1829</v>
      </c>
    </row>
    <row r="117" spans="1:15" s="23" customFormat="1" ht="17.399999999999999">
      <c r="A117" s="20" t="s">
        <v>687</v>
      </c>
      <c r="B117" s="20" t="s">
        <v>688</v>
      </c>
      <c r="C117" s="768" t="s">
        <v>4273</v>
      </c>
      <c r="D117" s="20" t="s">
        <v>689</v>
      </c>
      <c r="E117" s="768" t="s">
        <v>689</v>
      </c>
      <c r="F117" s="768" t="s">
        <v>689</v>
      </c>
      <c r="G117" s="768" t="s">
        <v>690</v>
      </c>
      <c r="H117" s="20" t="s">
        <v>694</v>
      </c>
      <c r="I117" s="20" t="s">
        <v>691</v>
      </c>
      <c r="J117" s="20" t="s">
        <v>692</v>
      </c>
      <c r="K117" s="20" t="s">
        <v>693</v>
      </c>
      <c r="L117" s="770" t="s">
        <v>694</v>
      </c>
      <c r="M117" s="20" t="s">
        <v>695</v>
      </c>
      <c r="N117" s="20" t="s">
        <v>696</v>
      </c>
    </row>
    <row r="118" spans="1:15" s="23" customFormat="1" ht="17.399999999999999">
      <c r="A118" s="20" t="s">
        <v>697</v>
      </c>
      <c r="B118" s="20" t="s">
        <v>698</v>
      </c>
      <c r="C118" s="768" t="s">
        <v>699</v>
      </c>
      <c r="D118" s="20" t="s">
        <v>700</v>
      </c>
      <c r="E118" s="768" t="s">
        <v>3108</v>
      </c>
      <c r="F118" s="768" t="s">
        <v>701</v>
      </c>
      <c r="G118" s="768" t="s">
        <v>702</v>
      </c>
      <c r="H118" s="20" t="s">
        <v>3108</v>
      </c>
      <c r="I118" s="20" t="s">
        <v>703</v>
      </c>
      <c r="J118" s="20" t="s">
        <v>704</v>
      </c>
      <c r="K118" s="20" t="s">
        <v>705</v>
      </c>
      <c r="L118" s="770" t="s">
        <v>706</v>
      </c>
      <c r="M118" s="20" t="s">
        <v>707</v>
      </c>
      <c r="N118" s="20" t="s">
        <v>708</v>
      </c>
    </row>
    <row r="119" spans="1:15" s="23" customFormat="1">
      <c r="A119" s="658" t="s">
        <v>3766</v>
      </c>
      <c r="B119" s="20" t="s">
        <v>4328</v>
      </c>
      <c r="C119" s="20" t="s">
        <v>4274</v>
      </c>
      <c r="D119" s="658" t="s">
        <v>3766</v>
      </c>
      <c r="E119" s="658" t="s">
        <v>3766</v>
      </c>
      <c r="F119" s="658" t="s">
        <v>3766</v>
      </c>
      <c r="G119" s="658" t="s">
        <v>3827</v>
      </c>
      <c r="H119" s="658" t="s">
        <v>3766</v>
      </c>
      <c r="I119" s="658" t="s">
        <v>3766</v>
      </c>
      <c r="J119" s="658" t="s">
        <v>3766</v>
      </c>
      <c r="K119" s="658" t="s">
        <v>3766</v>
      </c>
      <c r="L119" s="20" t="s">
        <v>4350</v>
      </c>
      <c r="M119" s="658" t="s">
        <v>3766</v>
      </c>
      <c r="N119" s="658" t="s">
        <v>3766</v>
      </c>
      <c r="O119"/>
    </row>
    <row r="120" spans="1:15" s="23" customFormat="1">
      <c r="A120" s="658" t="s">
        <v>3767</v>
      </c>
      <c r="B120" s="20" t="s">
        <v>4329</v>
      </c>
      <c r="C120" s="20" t="s">
        <v>4275</v>
      </c>
      <c r="D120" s="658" t="s">
        <v>3767</v>
      </c>
      <c r="E120" s="658" t="s">
        <v>3767</v>
      </c>
      <c r="F120" s="658" t="s">
        <v>3767</v>
      </c>
      <c r="G120" s="658" t="s">
        <v>3826</v>
      </c>
      <c r="H120" s="658" t="s">
        <v>3767</v>
      </c>
      <c r="I120" s="658" t="s">
        <v>3767</v>
      </c>
      <c r="J120" s="658" t="s">
        <v>3767</v>
      </c>
      <c r="K120" s="658" t="s">
        <v>3767</v>
      </c>
      <c r="L120" s="20" t="s">
        <v>4351</v>
      </c>
      <c r="M120" s="658" t="s">
        <v>3767</v>
      </c>
      <c r="N120" s="658" t="s">
        <v>3767</v>
      </c>
      <c r="O120"/>
    </row>
    <row r="121" spans="1:15" s="23" customFormat="1" ht="17.399999999999999">
      <c r="A121" s="20" t="s">
        <v>1167</v>
      </c>
      <c r="B121" s="20" t="s">
        <v>1168</v>
      </c>
      <c r="C121" s="768" t="s">
        <v>1169</v>
      </c>
      <c r="D121" s="20" t="s">
        <v>3667</v>
      </c>
      <c r="E121" s="768" t="s">
        <v>3148</v>
      </c>
      <c r="F121" s="768" t="s">
        <v>1170</v>
      </c>
      <c r="G121" s="768" t="s">
        <v>1171</v>
      </c>
      <c r="H121" s="20" t="s">
        <v>3470</v>
      </c>
      <c r="I121" s="20" t="s">
        <v>1172</v>
      </c>
      <c r="J121" s="20" t="s">
        <v>1173</v>
      </c>
      <c r="K121" s="20" t="s">
        <v>1174</v>
      </c>
      <c r="L121" s="770" t="s">
        <v>1175</v>
      </c>
      <c r="M121" s="20" t="s">
        <v>1176</v>
      </c>
      <c r="N121" s="20" t="s">
        <v>1177</v>
      </c>
    </row>
    <row r="122" spans="1:15" s="23" customFormat="1">
      <c r="A122" s="23" t="s">
        <v>2372</v>
      </c>
      <c r="B122" s="773" t="s">
        <v>2373</v>
      </c>
      <c r="C122" s="23" t="s">
        <v>2374</v>
      </c>
      <c r="D122" s="23" t="s">
        <v>3668</v>
      </c>
      <c r="E122" s="23" t="s">
        <v>3251</v>
      </c>
      <c r="F122" s="23" t="s">
        <v>2372</v>
      </c>
      <c r="G122" s="23" t="s">
        <v>2375</v>
      </c>
      <c r="H122" s="23" t="s">
        <v>3471</v>
      </c>
      <c r="I122" s="23" t="s">
        <v>2376</v>
      </c>
      <c r="J122" s="23" t="s">
        <v>2377</v>
      </c>
      <c r="K122" s="23" t="s">
        <v>2378</v>
      </c>
      <c r="L122" s="773" t="s">
        <v>2379</v>
      </c>
      <c r="M122" s="23" t="s">
        <v>2380</v>
      </c>
      <c r="N122" s="773" t="s">
        <v>2381</v>
      </c>
    </row>
    <row r="123" spans="1:15" s="23" customFormat="1">
      <c r="A123" s="23" t="s">
        <v>2382</v>
      </c>
      <c r="B123" s="773" t="s">
        <v>2383</v>
      </c>
      <c r="C123" s="23" t="s">
        <v>2384</v>
      </c>
      <c r="D123" s="23" t="s">
        <v>3669</v>
      </c>
      <c r="E123" s="23" t="s">
        <v>3252</v>
      </c>
      <c r="F123" s="23" t="s">
        <v>2382</v>
      </c>
      <c r="G123" s="23" t="s">
        <v>2385</v>
      </c>
      <c r="H123" s="23" t="s">
        <v>3472</v>
      </c>
      <c r="I123" s="23" t="s">
        <v>2386</v>
      </c>
      <c r="J123" s="23" t="s">
        <v>2387</v>
      </c>
      <c r="K123" s="23" t="s">
        <v>2388</v>
      </c>
      <c r="L123" s="773" t="s">
        <v>2389</v>
      </c>
      <c r="M123" s="23" t="s">
        <v>2390</v>
      </c>
      <c r="N123" s="773" t="s">
        <v>2391</v>
      </c>
    </row>
    <row r="124" spans="1:15" s="23" customFormat="1">
      <c r="A124" s="658" t="s">
        <v>3763</v>
      </c>
      <c r="B124" s="20" t="s">
        <v>4330</v>
      </c>
      <c r="C124" s="20" t="s">
        <v>4276</v>
      </c>
      <c r="D124" s="658" t="s">
        <v>3763</v>
      </c>
      <c r="E124" s="658" t="s">
        <v>3763</v>
      </c>
      <c r="F124" s="658" t="s">
        <v>3763</v>
      </c>
      <c r="G124" s="658" t="s">
        <v>3823</v>
      </c>
      <c r="H124" s="658" t="s">
        <v>3763</v>
      </c>
      <c r="I124" s="658" t="s">
        <v>3763</v>
      </c>
      <c r="J124" s="658" t="s">
        <v>3763</v>
      </c>
      <c r="K124" s="658" t="s">
        <v>3763</v>
      </c>
      <c r="L124" s="658" t="s">
        <v>3763</v>
      </c>
      <c r="M124" s="658" t="s">
        <v>3763</v>
      </c>
      <c r="N124" s="658" t="s">
        <v>3763</v>
      </c>
      <c r="O124"/>
    </row>
    <row r="125" spans="1:15" s="23" customFormat="1">
      <c r="A125" s="658" t="s">
        <v>3789</v>
      </c>
      <c r="B125" s="20" t="s">
        <v>4331</v>
      </c>
      <c r="C125" s="20" t="s">
        <v>4277</v>
      </c>
      <c r="D125" s="658" t="s">
        <v>3789</v>
      </c>
      <c r="E125" s="658" t="s">
        <v>3789</v>
      </c>
      <c r="F125" s="658" t="s">
        <v>3789</v>
      </c>
      <c r="G125" s="658" t="s">
        <v>3833</v>
      </c>
      <c r="H125" s="658" t="s">
        <v>3789</v>
      </c>
      <c r="I125" s="658" t="s">
        <v>3789</v>
      </c>
      <c r="J125" s="658" t="s">
        <v>3789</v>
      </c>
      <c r="K125" s="658" t="s">
        <v>3789</v>
      </c>
      <c r="L125" s="20" t="s">
        <v>4352</v>
      </c>
      <c r="M125" s="658" t="s">
        <v>3789</v>
      </c>
      <c r="N125" s="658" t="s">
        <v>3789</v>
      </c>
      <c r="O125"/>
    </row>
    <row r="126" spans="1:15" s="23" customFormat="1" ht="17.399999999999999">
      <c r="A126" s="20" t="s">
        <v>709</v>
      </c>
      <c r="B126" s="20" t="s">
        <v>710</v>
      </c>
      <c r="C126" s="768" t="s">
        <v>711</v>
      </c>
      <c r="D126" s="20" t="s">
        <v>712</v>
      </c>
      <c r="E126" s="768" t="s">
        <v>3109</v>
      </c>
      <c r="F126" s="768" t="s">
        <v>713</v>
      </c>
      <c r="G126" s="768" t="s">
        <v>714</v>
      </c>
      <c r="H126" s="20" t="s">
        <v>3473</v>
      </c>
      <c r="I126" s="20" t="s">
        <v>715</v>
      </c>
      <c r="J126" s="20" t="s">
        <v>716</v>
      </c>
      <c r="K126" s="20" t="s">
        <v>717</v>
      </c>
      <c r="L126" s="770" t="s">
        <v>718</v>
      </c>
      <c r="M126" s="20" t="s">
        <v>719</v>
      </c>
      <c r="N126" s="20" t="s">
        <v>720</v>
      </c>
    </row>
    <row r="127" spans="1:15" s="23" customFormat="1">
      <c r="A127" s="20" t="s">
        <v>2168</v>
      </c>
      <c r="B127" s="787" t="s">
        <v>2169</v>
      </c>
      <c r="C127" s="20" t="s">
        <v>2170</v>
      </c>
      <c r="D127" s="20" t="s">
        <v>3670</v>
      </c>
      <c r="E127" s="20" t="s">
        <v>3231</v>
      </c>
      <c r="F127" s="20" t="s">
        <v>2168</v>
      </c>
      <c r="G127" s="20" t="s">
        <v>2171</v>
      </c>
      <c r="H127" s="20" t="s">
        <v>3474</v>
      </c>
      <c r="I127" s="20" t="s">
        <v>2172</v>
      </c>
      <c r="J127" s="787" t="s">
        <v>2173</v>
      </c>
      <c r="K127" s="20" t="s">
        <v>2174</v>
      </c>
      <c r="L127" s="787" t="s">
        <v>2175</v>
      </c>
      <c r="M127" s="20" t="s">
        <v>2174</v>
      </c>
      <c r="N127" s="787" t="s">
        <v>2176</v>
      </c>
    </row>
    <row r="128" spans="1:15" s="23" customFormat="1">
      <c r="A128" s="23" t="s">
        <v>2392</v>
      </c>
      <c r="B128" s="773" t="s">
        <v>2393</v>
      </c>
      <c r="C128" s="23" t="s">
        <v>2394</v>
      </c>
      <c r="D128" s="23" t="s">
        <v>724</v>
      </c>
      <c r="E128" s="23" t="s">
        <v>3253</v>
      </c>
      <c r="F128" s="23" t="s">
        <v>2392</v>
      </c>
      <c r="G128" s="23" t="s">
        <v>2395</v>
      </c>
      <c r="H128" s="23" t="s">
        <v>3253</v>
      </c>
      <c r="I128" s="23" t="s">
        <v>2396</v>
      </c>
      <c r="J128" s="23" t="s">
        <v>2397</v>
      </c>
      <c r="K128" s="23" t="s">
        <v>2398</v>
      </c>
      <c r="L128" s="773" t="s">
        <v>2399</v>
      </c>
      <c r="M128" s="23" t="s">
        <v>2399</v>
      </c>
      <c r="N128" s="773" t="s">
        <v>2397</v>
      </c>
    </row>
    <row r="129" spans="1:15" s="23" customFormat="1" ht="17.399999999999999">
      <c r="A129" s="20" t="s">
        <v>721</v>
      </c>
      <c r="B129" s="20" t="s">
        <v>722</v>
      </c>
      <c r="C129" s="768" t="s">
        <v>723</v>
      </c>
      <c r="D129" s="20" t="s">
        <v>724</v>
      </c>
      <c r="E129" s="768" t="s">
        <v>725</v>
      </c>
      <c r="F129" s="768" t="s">
        <v>725</v>
      </c>
      <c r="G129" s="768" t="s">
        <v>726</v>
      </c>
      <c r="H129" s="20" t="s">
        <v>3475</v>
      </c>
      <c r="I129" s="20" t="s">
        <v>727</v>
      </c>
      <c r="J129" s="20" t="s">
        <v>728</v>
      </c>
      <c r="K129" s="783" t="s">
        <v>729</v>
      </c>
      <c r="L129" s="770" t="s">
        <v>730</v>
      </c>
      <c r="M129" s="20" t="s">
        <v>730</v>
      </c>
      <c r="N129" s="20" t="s">
        <v>731</v>
      </c>
    </row>
    <row r="130" spans="1:15" s="23" customFormat="1" ht="17.399999999999999">
      <c r="A130" s="20" t="s">
        <v>732</v>
      </c>
      <c r="B130" s="20" t="s">
        <v>732</v>
      </c>
      <c r="C130" s="768" t="s">
        <v>733</v>
      </c>
      <c r="D130" s="20" t="s">
        <v>734</v>
      </c>
      <c r="E130" s="768" t="s">
        <v>735</v>
      </c>
      <c r="F130" s="768" t="s">
        <v>735</v>
      </c>
      <c r="G130" s="768" t="s">
        <v>736</v>
      </c>
      <c r="H130" s="20" t="s">
        <v>732</v>
      </c>
      <c r="I130" s="20" t="s">
        <v>732</v>
      </c>
      <c r="J130" s="20" t="s">
        <v>737</v>
      </c>
      <c r="K130" s="20" t="s">
        <v>732</v>
      </c>
      <c r="L130" s="770" t="s">
        <v>732</v>
      </c>
      <c r="M130" s="20" t="s">
        <v>732</v>
      </c>
      <c r="N130" s="20" t="s">
        <v>738</v>
      </c>
    </row>
    <row r="131" spans="1:15" s="23" customFormat="1" ht="17.399999999999999">
      <c r="A131" s="20" t="s">
        <v>739</v>
      </c>
      <c r="B131" s="20" t="s">
        <v>4332</v>
      </c>
      <c r="C131" s="768" t="s">
        <v>740</v>
      </c>
      <c r="D131" s="20" t="s">
        <v>741</v>
      </c>
      <c r="E131" s="768" t="s">
        <v>3110</v>
      </c>
      <c r="F131" s="768" t="s">
        <v>742</v>
      </c>
      <c r="G131" s="768" t="s">
        <v>743</v>
      </c>
      <c r="H131" s="20" t="s">
        <v>3476</v>
      </c>
      <c r="I131" s="20" t="s">
        <v>744</v>
      </c>
      <c r="J131" s="20" t="s">
        <v>745</v>
      </c>
      <c r="K131" s="20" t="s">
        <v>746</v>
      </c>
      <c r="L131" s="770" t="s">
        <v>4353</v>
      </c>
      <c r="M131" s="20" t="s">
        <v>747</v>
      </c>
      <c r="N131" s="20" t="s">
        <v>748</v>
      </c>
    </row>
    <row r="132" spans="1:15" s="23" customFormat="1">
      <c r="A132" s="23" t="s">
        <v>2400</v>
      </c>
      <c r="B132" s="773" t="s">
        <v>2401</v>
      </c>
      <c r="C132" s="23" t="s">
        <v>2402</v>
      </c>
      <c r="D132" s="23" t="s">
        <v>3671</v>
      </c>
      <c r="E132" s="23" t="s">
        <v>3224</v>
      </c>
      <c r="F132" s="23" t="s">
        <v>2400</v>
      </c>
      <c r="G132" s="23" t="s">
        <v>2403</v>
      </c>
      <c r="H132" s="23" t="s">
        <v>3477</v>
      </c>
      <c r="I132" s="23" t="s">
        <v>2404</v>
      </c>
      <c r="J132" s="23" t="s">
        <v>2405</v>
      </c>
      <c r="K132" s="23" t="s">
        <v>2406</v>
      </c>
      <c r="L132" s="773" t="s">
        <v>2407</v>
      </c>
      <c r="M132" s="23" t="s">
        <v>2408</v>
      </c>
      <c r="N132" s="773" t="s">
        <v>2409</v>
      </c>
    </row>
    <row r="133" spans="1:15" s="23" customFormat="1" ht="17.399999999999999">
      <c r="A133" s="790" t="s">
        <v>2077</v>
      </c>
      <c r="B133" s="790" t="s">
        <v>2078</v>
      </c>
      <c r="C133" s="768" t="s">
        <v>2079</v>
      </c>
      <c r="D133" s="790" t="s">
        <v>3672</v>
      </c>
      <c r="E133" s="768" t="s">
        <v>3224</v>
      </c>
      <c r="F133" s="768" t="s">
        <v>2080</v>
      </c>
      <c r="G133" s="768" t="s">
        <v>2081</v>
      </c>
      <c r="H133" s="790" t="s">
        <v>3478</v>
      </c>
      <c r="I133" s="790" t="s">
        <v>2082</v>
      </c>
      <c r="J133" s="790" t="s">
        <v>2083</v>
      </c>
      <c r="K133" s="790" t="s">
        <v>2084</v>
      </c>
      <c r="L133" s="791" t="s">
        <v>2085</v>
      </c>
      <c r="M133" s="790" t="s">
        <v>2086</v>
      </c>
      <c r="N133" s="790" t="s">
        <v>2087</v>
      </c>
    </row>
    <row r="134" spans="1:15" s="23" customFormat="1" ht="17.399999999999999">
      <c r="A134" s="20" t="s">
        <v>2000</v>
      </c>
      <c r="B134" s="20" t="s">
        <v>2001</v>
      </c>
      <c r="C134" s="768" t="s">
        <v>2002</v>
      </c>
      <c r="D134" s="20" t="s">
        <v>2003</v>
      </c>
      <c r="E134" s="768" t="s">
        <v>3217</v>
      </c>
      <c r="F134" s="768" t="s">
        <v>2004</v>
      </c>
      <c r="G134" s="768" t="s">
        <v>2005</v>
      </c>
      <c r="H134" s="20" t="s">
        <v>3479</v>
      </c>
      <c r="I134" s="20" t="s">
        <v>2006</v>
      </c>
      <c r="J134" s="20" t="s">
        <v>2007</v>
      </c>
      <c r="K134" s="20" t="s">
        <v>2008</v>
      </c>
      <c r="L134" s="770" t="s">
        <v>2009</v>
      </c>
      <c r="M134" s="20" t="s">
        <v>2010</v>
      </c>
      <c r="N134" s="20" t="s">
        <v>2011</v>
      </c>
    </row>
    <row r="135" spans="1:15" s="23" customFormat="1">
      <c r="A135" s="20" t="s">
        <v>3838</v>
      </c>
      <c r="B135" s="20" t="s">
        <v>3838</v>
      </c>
      <c r="C135" s="20" t="s">
        <v>4278</v>
      </c>
      <c r="D135" s="20" t="s">
        <v>3838</v>
      </c>
      <c r="E135" s="20" t="s">
        <v>3838</v>
      </c>
      <c r="F135" s="20" t="s">
        <v>3838</v>
      </c>
      <c r="G135" s="20" t="s">
        <v>3838</v>
      </c>
      <c r="H135" s="20" t="s">
        <v>3838</v>
      </c>
      <c r="I135" s="20" t="s">
        <v>3838</v>
      </c>
      <c r="J135" s="20" t="s">
        <v>3838</v>
      </c>
      <c r="K135" s="20" t="s">
        <v>3838</v>
      </c>
      <c r="L135" s="20" t="s">
        <v>4354</v>
      </c>
      <c r="M135" s="20" t="s">
        <v>3838</v>
      </c>
      <c r="N135" s="20" t="s">
        <v>3838</v>
      </c>
      <c r="O135" s="20"/>
    </row>
    <row r="136" spans="1:15" s="23" customFormat="1">
      <c r="A136" s="20" t="s">
        <v>2142</v>
      </c>
      <c r="B136" s="787" t="s">
        <v>2143</v>
      </c>
      <c r="C136" s="20" t="s">
        <v>2144</v>
      </c>
      <c r="D136" s="20" t="s">
        <v>3673</v>
      </c>
      <c r="E136" s="20" t="s">
        <v>3333</v>
      </c>
      <c r="F136" s="20" t="s">
        <v>2142</v>
      </c>
      <c r="G136" s="20" t="s">
        <v>2145</v>
      </c>
      <c r="H136" s="20" t="s">
        <v>3480</v>
      </c>
      <c r="I136" s="20" t="s">
        <v>2146</v>
      </c>
      <c r="J136" s="787" t="s">
        <v>2147</v>
      </c>
      <c r="K136" s="20" t="s">
        <v>2148</v>
      </c>
      <c r="L136" s="787" t="s">
        <v>2148</v>
      </c>
      <c r="M136" s="20" t="s">
        <v>2148</v>
      </c>
      <c r="N136" s="787" t="s">
        <v>2149</v>
      </c>
    </row>
    <row r="137" spans="1:15" s="23" customFormat="1" ht="17.399999999999999">
      <c r="A137" s="20" t="s">
        <v>3804</v>
      </c>
      <c r="B137" s="20" t="s">
        <v>3805</v>
      </c>
      <c r="C137" s="768" t="s">
        <v>4279</v>
      </c>
      <c r="D137" s="20" t="s">
        <v>3806</v>
      </c>
      <c r="E137" s="768" t="s">
        <v>3807</v>
      </c>
      <c r="F137" s="768" t="s">
        <v>3808</v>
      </c>
      <c r="G137" s="768" t="s">
        <v>3809</v>
      </c>
      <c r="H137" s="20" t="s">
        <v>3810</v>
      </c>
      <c r="I137" s="20" t="s">
        <v>3811</v>
      </c>
      <c r="J137" s="20" t="s">
        <v>3812</v>
      </c>
      <c r="K137" s="20" t="s">
        <v>3813</v>
      </c>
      <c r="L137" s="770" t="s">
        <v>3814</v>
      </c>
      <c r="M137" s="20" t="s">
        <v>3815</v>
      </c>
      <c r="N137" s="20" t="s">
        <v>3816</v>
      </c>
    </row>
    <row r="138" spans="1:15" s="23" customFormat="1" ht="17.399999999999999">
      <c r="A138" s="20" t="s">
        <v>749</v>
      </c>
      <c r="B138" s="20" t="s">
        <v>750</v>
      </c>
      <c r="C138" s="768" t="s">
        <v>4231</v>
      </c>
      <c r="D138" s="20" t="s">
        <v>751</v>
      </c>
      <c r="E138" s="768" t="s">
        <v>3111</v>
      </c>
      <c r="F138" s="768" t="s">
        <v>752</v>
      </c>
      <c r="G138" s="768" t="s">
        <v>753</v>
      </c>
      <c r="H138" s="20" t="s">
        <v>3481</v>
      </c>
      <c r="I138" s="20" t="s">
        <v>754</v>
      </c>
      <c r="J138" s="20" t="s">
        <v>755</v>
      </c>
      <c r="K138" s="20" t="s">
        <v>756</v>
      </c>
      <c r="L138" s="770" t="s">
        <v>757</v>
      </c>
      <c r="M138" s="20" t="s">
        <v>758</v>
      </c>
      <c r="N138" s="20" t="s">
        <v>759</v>
      </c>
    </row>
    <row r="139" spans="1:15" s="23" customFormat="1">
      <c r="A139" s="20" t="s">
        <v>4042</v>
      </c>
      <c r="B139" s="20" t="s">
        <v>4045</v>
      </c>
      <c r="C139" s="20" t="s">
        <v>4280</v>
      </c>
      <c r="D139" s="20" t="s">
        <v>4048</v>
      </c>
      <c r="E139" s="20" t="s">
        <v>4051</v>
      </c>
      <c r="F139" s="20" t="s">
        <v>4055</v>
      </c>
      <c r="G139" s="20" t="s">
        <v>4058</v>
      </c>
      <c r="H139" s="20" t="s">
        <v>4061</v>
      </c>
      <c r="I139" s="20" t="s">
        <v>4065</v>
      </c>
      <c r="J139" s="20" t="s">
        <v>4068</v>
      </c>
      <c r="K139" s="20" t="s">
        <v>4071</v>
      </c>
      <c r="L139" s="20" t="s">
        <v>4074</v>
      </c>
      <c r="M139" s="20" t="s">
        <v>4078</v>
      </c>
      <c r="N139" s="20" t="s">
        <v>4081</v>
      </c>
      <c r="O139" s="20"/>
    </row>
    <row r="140" spans="1:15" s="23" customFormat="1">
      <c r="A140" s="20" t="s">
        <v>4043</v>
      </c>
      <c r="B140" s="20" t="s">
        <v>4046</v>
      </c>
      <c r="C140" s="20" t="s">
        <v>4281</v>
      </c>
      <c r="D140" s="20" t="s">
        <v>4049</v>
      </c>
      <c r="E140" s="20" t="s">
        <v>4052</v>
      </c>
      <c r="F140" s="20" t="s">
        <v>4056</v>
      </c>
      <c r="G140" s="20" t="s">
        <v>4059</v>
      </c>
      <c r="H140" s="20" t="s">
        <v>4062</v>
      </c>
      <c r="I140" s="20" t="s">
        <v>4066</v>
      </c>
      <c r="J140" s="20" t="s">
        <v>4069</v>
      </c>
      <c r="K140" s="20" t="s">
        <v>4072</v>
      </c>
      <c r="L140" s="20" t="s">
        <v>4075</v>
      </c>
      <c r="M140" s="20" t="s">
        <v>4079</v>
      </c>
      <c r="N140" s="20" t="s">
        <v>4082</v>
      </c>
      <c r="O140" s="20"/>
    </row>
    <row r="141" spans="1:15" s="23" customFormat="1">
      <c r="A141" s="20" t="s">
        <v>4044</v>
      </c>
      <c r="B141" s="20" t="s">
        <v>4047</v>
      </c>
      <c r="C141" s="20" t="s">
        <v>4282</v>
      </c>
      <c r="D141" s="20" t="s">
        <v>4050</v>
      </c>
      <c r="E141" s="20" t="s">
        <v>4053</v>
      </c>
      <c r="F141" s="20" t="s">
        <v>4057</v>
      </c>
      <c r="G141" s="20" t="s">
        <v>4060</v>
      </c>
      <c r="H141" s="20" t="s">
        <v>4063</v>
      </c>
      <c r="I141" s="20" t="s">
        <v>4067</v>
      </c>
      <c r="J141" s="20" t="s">
        <v>4070</v>
      </c>
      <c r="K141" s="20" t="s">
        <v>4073</v>
      </c>
      <c r="L141" s="20" t="s">
        <v>4076</v>
      </c>
      <c r="M141" s="20" t="s">
        <v>4080</v>
      </c>
      <c r="N141" s="20" t="s">
        <v>4083</v>
      </c>
      <c r="O141" s="20"/>
    </row>
    <row r="142" spans="1:15" s="23" customFormat="1" ht="34.799999999999997">
      <c r="A142" s="20" t="s">
        <v>771</v>
      </c>
      <c r="B142" s="20" t="s">
        <v>772</v>
      </c>
      <c r="C142" s="768" t="s">
        <v>4149</v>
      </c>
      <c r="D142" s="20" t="s">
        <v>3674</v>
      </c>
      <c r="E142" s="768" t="s">
        <v>3113</v>
      </c>
      <c r="F142" s="768" t="s">
        <v>773</v>
      </c>
      <c r="G142" s="768" t="s">
        <v>774</v>
      </c>
      <c r="H142" s="20" t="s">
        <v>3482</v>
      </c>
      <c r="I142" s="20" t="s">
        <v>775</v>
      </c>
      <c r="J142" s="20" t="s">
        <v>776</v>
      </c>
      <c r="K142" s="20" t="s">
        <v>777</v>
      </c>
      <c r="L142" s="770" t="s">
        <v>778</v>
      </c>
      <c r="M142" s="20" t="s">
        <v>779</v>
      </c>
      <c r="N142" s="20" t="s">
        <v>780</v>
      </c>
    </row>
    <row r="143" spans="1:15" s="23" customFormat="1" ht="34.799999999999997">
      <c r="A143" s="20" t="s">
        <v>3349</v>
      </c>
      <c r="B143" s="20" t="s">
        <v>781</v>
      </c>
      <c r="C143" s="768" t="s">
        <v>4150</v>
      </c>
      <c r="D143" s="20" t="s">
        <v>3675</v>
      </c>
      <c r="E143" s="768" t="s">
        <v>3114</v>
      </c>
      <c r="F143" s="768" t="s">
        <v>782</v>
      </c>
      <c r="G143" s="768" t="s">
        <v>783</v>
      </c>
      <c r="H143" s="20" t="s">
        <v>3483</v>
      </c>
      <c r="I143" s="20" t="s">
        <v>784</v>
      </c>
      <c r="J143" s="20" t="s">
        <v>785</v>
      </c>
      <c r="K143" s="20" t="s">
        <v>786</v>
      </c>
      <c r="L143" s="770" t="s">
        <v>787</v>
      </c>
      <c r="M143" s="20" t="s">
        <v>788</v>
      </c>
      <c r="N143" s="20" t="s">
        <v>789</v>
      </c>
    </row>
    <row r="144" spans="1:15" s="23" customFormat="1" ht="34.799999999999997">
      <c r="A144" s="20" t="s">
        <v>790</v>
      </c>
      <c r="B144" s="20" t="s">
        <v>791</v>
      </c>
      <c r="C144" s="768" t="s">
        <v>4151</v>
      </c>
      <c r="D144" s="20" t="s">
        <v>3676</v>
      </c>
      <c r="E144" s="768" t="s">
        <v>3115</v>
      </c>
      <c r="F144" s="768" t="s">
        <v>792</v>
      </c>
      <c r="G144" s="768" t="s">
        <v>793</v>
      </c>
      <c r="H144" s="20" t="s">
        <v>3484</v>
      </c>
      <c r="I144" s="20" t="s">
        <v>794</v>
      </c>
      <c r="J144" s="20" t="s">
        <v>795</v>
      </c>
      <c r="K144" s="20" t="s">
        <v>796</v>
      </c>
      <c r="L144" s="770" t="s">
        <v>797</v>
      </c>
      <c r="M144" s="20" t="s">
        <v>798</v>
      </c>
      <c r="N144" s="20" t="s">
        <v>799</v>
      </c>
    </row>
    <row r="145" spans="1:15" s="23" customFormat="1">
      <c r="A145" s="20" t="s">
        <v>3973</v>
      </c>
      <c r="B145" s="20" t="s">
        <v>4036</v>
      </c>
      <c r="C145" s="20" t="s">
        <v>4283</v>
      </c>
      <c r="D145" s="20" t="s">
        <v>4030</v>
      </c>
      <c r="E145" s="20" t="s">
        <v>4024</v>
      </c>
      <c r="F145" s="20" t="s">
        <v>4054</v>
      </c>
      <c r="G145" s="20" t="s">
        <v>774</v>
      </c>
      <c r="H145" s="20" t="s">
        <v>4064</v>
      </c>
      <c r="I145" s="20" t="s">
        <v>4008</v>
      </c>
      <c r="J145" s="20" t="s">
        <v>4002</v>
      </c>
      <c r="K145" s="20" t="s">
        <v>3996</v>
      </c>
      <c r="L145" s="20" t="s">
        <v>3990</v>
      </c>
      <c r="M145" s="20" t="s">
        <v>3985</v>
      </c>
      <c r="N145" s="20" t="s">
        <v>3979</v>
      </c>
      <c r="O145" s="20"/>
    </row>
    <row r="146" spans="1:15" s="23" customFormat="1">
      <c r="A146" s="20" t="s">
        <v>3974</v>
      </c>
      <c r="B146" s="20" t="s">
        <v>4037</v>
      </c>
      <c r="C146" s="20" t="s">
        <v>4284</v>
      </c>
      <c r="D146" s="20" t="s">
        <v>4031</v>
      </c>
      <c r="E146" s="20" t="s">
        <v>4025</v>
      </c>
      <c r="F146" s="20" t="s">
        <v>4019</v>
      </c>
      <c r="G146" s="20" t="s">
        <v>783</v>
      </c>
      <c r="H146" s="20" t="s">
        <v>4014</v>
      </c>
      <c r="I146" s="20" t="s">
        <v>4009</v>
      </c>
      <c r="J146" s="20" t="s">
        <v>4003</v>
      </c>
      <c r="K146" s="20" t="s">
        <v>3997</v>
      </c>
      <c r="L146" s="20" t="s">
        <v>3991</v>
      </c>
      <c r="M146" s="20" t="s">
        <v>4077</v>
      </c>
      <c r="N146" s="20" t="s">
        <v>3980</v>
      </c>
      <c r="O146" s="20"/>
    </row>
    <row r="147" spans="1:15" s="23" customFormat="1">
      <c r="A147" s="20" t="s">
        <v>3975</v>
      </c>
      <c r="B147" s="20" t="s">
        <v>4038</v>
      </c>
      <c r="C147" s="20" t="s">
        <v>4285</v>
      </c>
      <c r="D147" s="20" t="s">
        <v>4032</v>
      </c>
      <c r="E147" s="20" t="s">
        <v>4026</v>
      </c>
      <c r="F147" s="20" t="s">
        <v>4020</v>
      </c>
      <c r="G147" s="20" t="s">
        <v>793</v>
      </c>
      <c r="H147" s="20" t="s">
        <v>4015</v>
      </c>
      <c r="I147" s="20" t="s">
        <v>4010</v>
      </c>
      <c r="J147" s="20" t="s">
        <v>4004</v>
      </c>
      <c r="K147" s="20" t="s">
        <v>3998</v>
      </c>
      <c r="L147" s="20" t="s">
        <v>3992</v>
      </c>
      <c r="M147" s="20" t="s">
        <v>3986</v>
      </c>
      <c r="N147" s="20" t="s">
        <v>3981</v>
      </c>
      <c r="O147" s="20"/>
    </row>
    <row r="148" spans="1:15" s="23" customFormat="1" ht="34.799999999999997">
      <c r="A148" s="20" t="s">
        <v>800</v>
      </c>
      <c r="B148" s="20" t="s">
        <v>801</v>
      </c>
      <c r="C148" s="768" t="s">
        <v>4152</v>
      </c>
      <c r="D148" s="20" t="s">
        <v>3677</v>
      </c>
      <c r="E148" s="768" t="s">
        <v>3116</v>
      </c>
      <c r="F148" s="768" t="s">
        <v>802</v>
      </c>
      <c r="G148" s="768" t="s">
        <v>803</v>
      </c>
      <c r="H148" s="20" t="s">
        <v>3485</v>
      </c>
      <c r="I148" s="20" t="s">
        <v>804</v>
      </c>
      <c r="J148" s="20" t="s">
        <v>805</v>
      </c>
      <c r="K148" s="20" t="s">
        <v>806</v>
      </c>
      <c r="L148" s="770" t="s">
        <v>807</v>
      </c>
      <c r="M148" s="20" t="s">
        <v>808</v>
      </c>
      <c r="N148" s="20" t="s">
        <v>809</v>
      </c>
    </row>
    <row r="149" spans="1:15" s="23" customFormat="1" ht="34.799999999999997">
      <c r="A149" s="20" t="s">
        <v>3350</v>
      </c>
      <c r="B149" s="20" t="s">
        <v>810</v>
      </c>
      <c r="C149" s="768" t="s">
        <v>4153</v>
      </c>
      <c r="D149" s="20" t="s">
        <v>3678</v>
      </c>
      <c r="E149" s="768" t="s">
        <v>3117</v>
      </c>
      <c r="F149" s="768" t="s">
        <v>811</v>
      </c>
      <c r="G149" s="768" t="s">
        <v>812</v>
      </c>
      <c r="H149" s="20" t="s">
        <v>3486</v>
      </c>
      <c r="I149" s="20" t="s">
        <v>813</v>
      </c>
      <c r="J149" s="20" t="s">
        <v>814</v>
      </c>
      <c r="K149" s="20" t="s">
        <v>815</v>
      </c>
      <c r="L149" s="770" t="s">
        <v>816</v>
      </c>
      <c r="M149" s="20" t="s">
        <v>817</v>
      </c>
      <c r="N149" s="20" t="s">
        <v>818</v>
      </c>
    </row>
    <row r="150" spans="1:15" s="23" customFormat="1" ht="34.799999999999997">
      <c r="A150" s="20" t="s">
        <v>819</v>
      </c>
      <c r="B150" s="20" t="s">
        <v>820</v>
      </c>
      <c r="C150" s="768" t="s">
        <v>4154</v>
      </c>
      <c r="D150" s="20" t="s">
        <v>3679</v>
      </c>
      <c r="E150" s="768" t="s">
        <v>3118</v>
      </c>
      <c r="F150" s="768" t="s">
        <v>821</v>
      </c>
      <c r="G150" s="768" t="s">
        <v>822</v>
      </c>
      <c r="H150" s="20" t="s">
        <v>3487</v>
      </c>
      <c r="I150" s="20" t="s">
        <v>823</v>
      </c>
      <c r="J150" s="20" t="s">
        <v>824</v>
      </c>
      <c r="K150" s="20" t="s">
        <v>825</v>
      </c>
      <c r="L150" s="770" t="s">
        <v>826</v>
      </c>
      <c r="M150" s="20" t="s">
        <v>827</v>
      </c>
      <c r="N150" s="20" t="s">
        <v>828</v>
      </c>
    </row>
    <row r="151" spans="1:15" s="23" customFormat="1">
      <c r="A151" s="20" t="s">
        <v>3976</v>
      </c>
      <c r="B151" s="20" t="s">
        <v>4039</v>
      </c>
      <c r="C151" s="20" t="s">
        <v>4286</v>
      </c>
      <c r="D151" s="20" t="s">
        <v>4033</v>
      </c>
      <c r="E151" s="20" t="s">
        <v>4027</v>
      </c>
      <c r="F151" s="20" t="s">
        <v>4021</v>
      </c>
      <c r="G151" s="20" t="s">
        <v>803</v>
      </c>
      <c r="H151" s="20" t="s">
        <v>4016</v>
      </c>
      <c r="I151" s="20" t="s">
        <v>4011</v>
      </c>
      <c r="J151" s="20" t="s">
        <v>4005</v>
      </c>
      <c r="K151" s="20" t="s">
        <v>3999</v>
      </c>
      <c r="L151" s="20" t="s">
        <v>3993</v>
      </c>
      <c r="M151" s="20" t="s">
        <v>3987</v>
      </c>
      <c r="N151" s="20" t="s">
        <v>3982</v>
      </c>
      <c r="O151" s="20"/>
    </row>
    <row r="152" spans="1:15" s="23" customFormat="1">
      <c r="A152" s="20" t="s">
        <v>3977</v>
      </c>
      <c r="B152" s="20" t="s">
        <v>4040</v>
      </c>
      <c r="C152" s="20" t="s">
        <v>4287</v>
      </c>
      <c r="D152" s="20" t="s">
        <v>4034</v>
      </c>
      <c r="E152" s="20" t="s">
        <v>4028</v>
      </c>
      <c r="F152" s="20" t="s">
        <v>4022</v>
      </c>
      <c r="G152" s="20" t="s">
        <v>812</v>
      </c>
      <c r="H152" s="20" t="s">
        <v>4017</v>
      </c>
      <c r="I152" s="20" t="s">
        <v>4012</v>
      </c>
      <c r="J152" s="20" t="s">
        <v>4006</v>
      </c>
      <c r="K152" s="20" t="s">
        <v>4000</v>
      </c>
      <c r="L152" s="20" t="s">
        <v>3994</v>
      </c>
      <c r="M152" s="20" t="s">
        <v>3988</v>
      </c>
      <c r="N152" s="20" t="s">
        <v>3983</v>
      </c>
      <c r="O152" s="20"/>
    </row>
    <row r="153" spans="1:15" s="23" customFormat="1">
      <c r="A153" s="20" t="s">
        <v>3978</v>
      </c>
      <c r="B153" s="20" t="s">
        <v>4041</v>
      </c>
      <c r="C153" s="20" t="s">
        <v>4288</v>
      </c>
      <c r="D153" s="20" t="s">
        <v>4035</v>
      </c>
      <c r="E153" s="20" t="s">
        <v>4029</v>
      </c>
      <c r="F153" s="20" t="s">
        <v>4023</v>
      </c>
      <c r="G153" s="20" t="s">
        <v>822</v>
      </c>
      <c r="H153" s="20" t="s">
        <v>4018</v>
      </c>
      <c r="I153" s="20" t="s">
        <v>4013</v>
      </c>
      <c r="J153" s="20" t="s">
        <v>4007</v>
      </c>
      <c r="K153" s="20" t="s">
        <v>4001</v>
      </c>
      <c r="L153" s="20" t="s">
        <v>3995</v>
      </c>
      <c r="M153" s="20" t="s">
        <v>3989</v>
      </c>
      <c r="N153" s="20" t="s">
        <v>3984</v>
      </c>
      <c r="O153" s="20"/>
    </row>
    <row r="154" spans="1:15" s="23" customFormat="1" ht="17.399999999999999">
      <c r="A154" s="20" t="s">
        <v>829</v>
      </c>
      <c r="B154" s="20" t="s">
        <v>830</v>
      </c>
      <c r="C154" s="768" t="s">
        <v>4232</v>
      </c>
      <c r="D154" s="20" t="s">
        <v>831</v>
      </c>
      <c r="E154" s="768" t="s">
        <v>3119</v>
      </c>
      <c r="F154" s="768" t="s">
        <v>832</v>
      </c>
      <c r="G154" s="768" t="s">
        <v>833</v>
      </c>
      <c r="H154" s="20" t="s">
        <v>3488</v>
      </c>
      <c r="I154" s="20" t="s">
        <v>834</v>
      </c>
      <c r="J154" s="20" t="s">
        <v>835</v>
      </c>
      <c r="K154" s="20" t="s">
        <v>836</v>
      </c>
      <c r="L154" s="770" t="s">
        <v>837</v>
      </c>
      <c r="M154" s="20" t="s">
        <v>838</v>
      </c>
      <c r="N154" s="20" t="s">
        <v>839</v>
      </c>
    </row>
    <row r="155" spans="1:15" s="23" customFormat="1" ht="17.399999999999999">
      <c r="A155" s="792" t="s">
        <v>840</v>
      </c>
      <c r="B155" s="792" t="s">
        <v>841</v>
      </c>
      <c r="C155" s="768" t="s">
        <v>4155</v>
      </c>
      <c r="D155" s="792" t="s">
        <v>842</v>
      </c>
      <c r="E155" s="768" t="s">
        <v>3120</v>
      </c>
      <c r="F155" s="768" t="s">
        <v>843</v>
      </c>
      <c r="G155" s="768" t="s">
        <v>844</v>
      </c>
      <c r="H155" s="792" t="s">
        <v>3489</v>
      </c>
      <c r="I155" s="792" t="s">
        <v>845</v>
      </c>
      <c r="J155" s="792" t="s">
        <v>846</v>
      </c>
      <c r="K155" s="792" t="s">
        <v>847</v>
      </c>
      <c r="L155" s="793" t="s">
        <v>848</v>
      </c>
      <c r="M155" s="792" t="s">
        <v>849</v>
      </c>
      <c r="N155" s="792" t="s">
        <v>850</v>
      </c>
    </row>
    <row r="156" spans="1:15" s="23" customFormat="1">
      <c r="A156" s="658" t="s">
        <v>3780</v>
      </c>
      <c r="B156" s="20" t="s">
        <v>4333</v>
      </c>
      <c r="C156" s="20" t="s">
        <v>4289</v>
      </c>
      <c r="D156" s="658" t="s">
        <v>3780</v>
      </c>
      <c r="E156" s="658" t="s">
        <v>3780</v>
      </c>
      <c r="F156" s="658" t="s">
        <v>3780</v>
      </c>
      <c r="G156" s="658" t="s">
        <v>3828</v>
      </c>
      <c r="H156" s="658" t="s">
        <v>3780</v>
      </c>
      <c r="I156" s="658" t="s">
        <v>3780</v>
      </c>
      <c r="J156" s="658" t="s">
        <v>3780</v>
      </c>
      <c r="K156" s="658" t="s">
        <v>3780</v>
      </c>
      <c r="L156" s="20" t="s">
        <v>4355</v>
      </c>
      <c r="M156" s="658" t="s">
        <v>3780</v>
      </c>
      <c r="N156" s="658" t="s">
        <v>3780</v>
      </c>
      <c r="O156"/>
    </row>
    <row r="157" spans="1:15" s="23" customFormat="1" ht="17.399999999999999">
      <c r="A157" s="767" t="s">
        <v>851</v>
      </c>
      <c r="B157" s="767" t="s">
        <v>852</v>
      </c>
      <c r="C157" s="768" t="s">
        <v>4290</v>
      </c>
      <c r="D157" s="767" t="s">
        <v>853</v>
      </c>
      <c r="E157" s="768" t="s">
        <v>3120</v>
      </c>
      <c r="F157" s="768" t="s">
        <v>854</v>
      </c>
      <c r="G157" s="768" t="s">
        <v>855</v>
      </c>
      <c r="H157" s="767" t="s">
        <v>3490</v>
      </c>
      <c r="I157" s="767" t="s">
        <v>856</v>
      </c>
      <c r="J157" s="767" t="s">
        <v>857</v>
      </c>
      <c r="K157" s="767" t="s">
        <v>858</v>
      </c>
      <c r="L157" s="769" t="s">
        <v>859</v>
      </c>
      <c r="M157" s="767" t="s">
        <v>860</v>
      </c>
      <c r="N157" s="767" t="s">
        <v>861</v>
      </c>
    </row>
    <row r="158" spans="1:15" s="23" customFormat="1" ht="17.399999999999999">
      <c r="A158" s="767" t="s">
        <v>4366</v>
      </c>
      <c r="B158" s="767" t="s">
        <v>862</v>
      </c>
      <c r="C158" s="768" t="s">
        <v>4291</v>
      </c>
      <c r="D158" s="767" t="s">
        <v>863</v>
      </c>
      <c r="E158" s="768" t="s">
        <v>3121</v>
      </c>
      <c r="F158" s="768" t="s">
        <v>864</v>
      </c>
      <c r="G158" s="768" t="s">
        <v>865</v>
      </c>
      <c r="H158" s="767" t="s">
        <v>3491</v>
      </c>
      <c r="I158" s="767" t="s">
        <v>866</v>
      </c>
      <c r="J158" s="767" t="s">
        <v>867</v>
      </c>
      <c r="K158" s="767" t="s">
        <v>868</v>
      </c>
      <c r="L158" s="769" t="s">
        <v>869</v>
      </c>
      <c r="M158" s="767" t="s">
        <v>870</v>
      </c>
      <c r="N158" s="767" t="s">
        <v>871</v>
      </c>
    </row>
    <row r="159" spans="1:15" s="23" customFormat="1" ht="28.8">
      <c r="A159" s="20" t="s">
        <v>3851</v>
      </c>
      <c r="B159" s="20" t="s">
        <v>3837</v>
      </c>
      <c r="C159" s="20" t="s">
        <v>4292</v>
      </c>
      <c r="D159" s="20" t="s">
        <v>3851</v>
      </c>
      <c r="E159" s="20" t="s">
        <v>3851</v>
      </c>
      <c r="F159" s="20" t="s">
        <v>3851</v>
      </c>
      <c r="G159" s="20" t="s">
        <v>3851</v>
      </c>
      <c r="H159" s="20" t="s">
        <v>3851</v>
      </c>
      <c r="I159" s="20" t="s">
        <v>3851</v>
      </c>
      <c r="J159" s="20" t="s">
        <v>3851</v>
      </c>
      <c r="K159" s="20" t="s">
        <v>3851</v>
      </c>
      <c r="L159" s="20" t="s">
        <v>3851</v>
      </c>
      <c r="M159" s="20" t="s">
        <v>3851</v>
      </c>
      <c r="N159" s="20" t="s">
        <v>3851</v>
      </c>
    </row>
    <row r="160" spans="1:15" s="23" customFormat="1" ht="34.799999999999997">
      <c r="A160" s="768" t="s">
        <v>1920</v>
      </c>
      <c r="B160" s="768" t="s">
        <v>1921</v>
      </c>
      <c r="C160" s="768" t="s">
        <v>1922</v>
      </c>
      <c r="D160" s="768" t="s">
        <v>3628</v>
      </c>
      <c r="E160" s="768" t="s">
        <v>3210</v>
      </c>
      <c r="F160" s="768" t="s">
        <v>1923</v>
      </c>
      <c r="G160" s="768" t="s">
        <v>1924</v>
      </c>
      <c r="H160" s="768" t="s">
        <v>3381</v>
      </c>
      <c r="I160" s="768" t="s">
        <v>1925</v>
      </c>
      <c r="J160" s="768" t="s">
        <v>1926</v>
      </c>
      <c r="K160" s="768" t="s">
        <v>1927</v>
      </c>
      <c r="L160" s="784" t="s">
        <v>1928</v>
      </c>
      <c r="M160" s="768" t="s">
        <v>1929</v>
      </c>
      <c r="N160" s="768" t="s">
        <v>1930</v>
      </c>
    </row>
    <row r="161" spans="1:14" s="23" customFormat="1">
      <c r="A161" s="23" t="s">
        <v>2410</v>
      </c>
      <c r="B161" s="773" t="s">
        <v>2411</v>
      </c>
      <c r="C161" s="23" t="s">
        <v>2412</v>
      </c>
      <c r="D161" s="23" t="s">
        <v>3680</v>
      </c>
      <c r="E161" s="23" t="s">
        <v>3254</v>
      </c>
      <c r="F161" s="23" t="s">
        <v>2410</v>
      </c>
      <c r="G161" s="23" t="s">
        <v>2413</v>
      </c>
      <c r="H161" s="23" t="s">
        <v>3492</v>
      </c>
      <c r="I161" s="23" t="s">
        <v>2414</v>
      </c>
      <c r="J161" s="23" t="s">
        <v>2415</v>
      </c>
      <c r="K161" s="23" t="s">
        <v>2416</v>
      </c>
      <c r="L161" s="773" t="s">
        <v>2417</v>
      </c>
      <c r="M161" s="23" t="s">
        <v>2418</v>
      </c>
      <c r="N161" s="773" t="s">
        <v>2419</v>
      </c>
    </row>
    <row r="162" spans="1:14" s="23" customFormat="1" ht="17.399999999999999">
      <c r="A162" s="20" t="s">
        <v>2022</v>
      </c>
      <c r="B162" s="20" t="s">
        <v>2023</v>
      </c>
      <c r="C162" s="768" t="s">
        <v>4233</v>
      </c>
      <c r="D162" s="20" t="s">
        <v>2024</v>
      </c>
      <c r="E162" s="768" t="s">
        <v>3219</v>
      </c>
      <c r="F162" s="768" t="s">
        <v>2025</v>
      </c>
      <c r="G162" s="768" t="s">
        <v>2026</v>
      </c>
      <c r="H162" s="20" t="s">
        <v>3493</v>
      </c>
      <c r="I162" s="20" t="s">
        <v>2027</v>
      </c>
      <c r="J162" s="20" t="s">
        <v>2028</v>
      </c>
      <c r="K162" s="20" t="s">
        <v>2029</v>
      </c>
      <c r="L162" s="770" t="s">
        <v>2030</v>
      </c>
      <c r="M162" s="20" t="s">
        <v>2030</v>
      </c>
      <c r="N162" s="20" t="s">
        <v>2031</v>
      </c>
    </row>
    <row r="163" spans="1:14" s="23" customFormat="1">
      <c r="A163" s="23" t="s">
        <v>2420</v>
      </c>
      <c r="B163" s="773" t="s">
        <v>2421</v>
      </c>
      <c r="C163" s="23" t="s">
        <v>2422</v>
      </c>
      <c r="D163" s="23" t="s">
        <v>3681</v>
      </c>
      <c r="E163" s="23" t="s">
        <v>3255</v>
      </c>
      <c r="F163" s="23" t="s">
        <v>2420</v>
      </c>
      <c r="G163" s="23" t="s">
        <v>2423</v>
      </c>
      <c r="H163" s="23" t="s">
        <v>3494</v>
      </c>
      <c r="I163" s="23" t="s">
        <v>2424</v>
      </c>
      <c r="J163" s="23" t="s">
        <v>2425</v>
      </c>
      <c r="K163" s="23" t="s">
        <v>2426</v>
      </c>
      <c r="L163" s="773" t="s">
        <v>2427</v>
      </c>
      <c r="M163" s="23" t="s">
        <v>2428</v>
      </c>
      <c r="N163" s="773" t="s">
        <v>2429</v>
      </c>
    </row>
    <row r="164" spans="1:14" s="23" customFormat="1">
      <c r="A164" s="23" t="s">
        <v>2430</v>
      </c>
      <c r="B164" s="773" t="s">
        <v>2431</v>
      </c>
      <c r="C164" s="23" t="s">
        <v>2432</v>
      </c>
      <c r="D164" s="23" t="s">
        <v>3682</v>
      </c>
      <c r="E164" s="23" t="s">
        <v>3256</v>
      </c>
      <c r="F164" s="23" t="s">
        <v>2430</v>
      </c>
      <c r="G164" s="23" t="s">
        <v>2433</v>
      </c>
      <c r="H164" s="23" t="s">
        <v>3495</v>
      </c>
      <c r="I164" s="23" t="s">
        <v>2434</v>
      </c>
      <c r="J164" s="23" t="s">
        <v>2435</v>
      </c>
      <c r="K164" s="23" t="s">
        <v>2436</v>
      </c>
      <c r="L164" s="773" t="s">
        <v>2437</v>
      </c>
      <c r="M164" s="23" t="s">
        <v>2438</v>
      </c>
      <c r="N164" s="773" t="s">
        <v>2439</v>
      </c>
    </row>
    <row r="165" spans="1:14" s="23" customFormat="1" ht="17.399999999999999">
      <c r="A165" s="20" t="s">
        <v>872</v>
      </c>
      <c r="B165" s="20" t="s">
        <v>873</v>
      </c>
      <c r="C165" s="768" t="s">
        <v>874</v>
      </c>
      <c r="D165" s="20" t="s">
        <v>875</v>
      </c>
      <c r="E165" s="768" t="s">
        <v>3336</v>
      </c>
      <c r="F165" s="768" t="s">
        <v>876</v>
      </c>
      <c r="G165" s="768" t="s">
        <v>877</v>
      </c>
      <c r="H165" s="20" t="s">
        <v>3496</v>
      </c>
      <c r="I165" s="20" t="s">
        <v>878</v>
      </c>
      <c r="J165" s="20" t="s">
        <v>879</v>
      </c>
      <c r="K165" s="783" t="s">
        <v>880</v>
      </c>
      <c r="L165" s="770" t="s">
        <v>881</v>
      </c>
      <c r="M165" s="20" t="s">
        <v>882</v>
      </c>
      <c r="N165" s="20" t="s">
        <v>883</v>
      </c>
    </row>
    <row r="166" spans="1:14" s="23" customFormat="1" ht="17.399999999999999">
      <c r="A166" s="20" t="s">
        <v>2012</v>
      </c>
      <c r="B166" s="20" t="s">
        <v>2013</v>
      </c>
      <c r="C166" s="768" t="s">
        <v>4234</v>
      </c>
      <c r="D166" s="20" t="s">
        <v>2014</v>
      </c>
      <c r="E166" s="768" t="s">
        <v>3218</v>
      </c>
      <c r="F166" s="768" t="s">
        <v>2015</v>
      </c>
      <c r="G166" s="768" t="s">
        <v>2016</v>
      </c>
      <c r="H166" s="20" t="s">
        <v>3497</v>
      </c>
      <c r="I166" s="20" t="s">
        <v>2017</v>
      </c>
      <c r="J166" s="20" t="s">
        <v>2018</v>
      </c>
      <c r="K166" s="20" t="s">
        <v>2019</v>
      </c>
      <c r="L166" s="770" t="s">
        <v>2020</v>
      </c>
      <c r="M166" s="20" t="s">
        <v>2020</v>
      </c>
      <c r="N166" s="20" t="s">
        <v>2021</v>
      </c>
    </row>
    <row r="167" spans="1:14" s="23" customFormat="1">
      <c r="A167" s="23" t="s">
        <v>2440</v>
      </c>
      <c r="B167" s="773" t="s">
        <v>2441</v>
      </c>
      <c r="C167" s="23" t="s">
        <v>2442</v>
      </c>
      <c r="D167" s="23" t="s">
        <v>3683</v>
      </c>
      <c r="E167" s="23" t="s">
        <v>3257</v>
      </c>
      <c r="F167" s="23" t="s">
        <v>2440</v>
      </c>
      <c r="G167" s="23" t="s">
        <v>2443</v>
      </c>
      <c r="H167" s="23" t="s">
        <v>3498</v>
      </c>
      <c r="I167" s="23" t="s">
        <v>2444</v>
      </c>
      <c r="J167" s="23" t="s">
        <v>2445</v>
      </c>
      <c r="K167" s="23" t="s">
        <v>2446</v>
      </c>
      <c r="L167" s="773" t="s">
        <v>2447</v>
      </c>
      <c r="M167" s="23" t="s">
        <v>2448</v>
      </c>
      <c r="N167" s="773" t="s">
        <v>2449</v>
      </c>
    </row>
    <row r="168" spans="1:14" s="23" customFormat="1">
      <c r="A168" s="23" t="s">
        <v>2450</v>
      </c>
      <c r="B168" s="773" t="s">
        <v>2451</v>
      </c>
      <c r="C168" s="23" t="s">
        <v>2452</v>
      </c>
      <c r="D168" s="23" t="s">
        <v>3684</v>
      </c>
      <c r="E168" s="23" t="s">
        <v>3258</v>
      </c>
      <c r="F168" s="23" t="s">
        <v>2450</v>
      </c>
      <c r="G168" s="23" t="s">
        <v>2453</v>
      </c>
      <c r="H168" s="23" t="s">
        <v>3499</v>
      </c>
      <c r="I168" s="23" t="s">
        <v>2454</v>
      </c>
      <c r="J168" s="23" t="s">
        <v>2455</v>
      </c>
      <c r="K168" s="23" t="s">
        <v>2456</v>
      </c>
      <c r="L168" s="773" t="s">
        <v>2457</v>
      </c>
      <c r="M168" s="23" t="s">
        <v>2458</v>
      </c>
      <c r="N168" s="773" t="s">
        <v>2459</v>
      </c>
    </row>
    <row r="169" spans="1:14" s="23" customFormat="1">
      <c r="A169" s="23" t="s">
        <v>2460</v>
      </c>
      <c r="B169" s="773" t="s">
        <v>2461</v>
      </c>
      <c r="C169" s="23" t="s">
        <v>2462</v>
      </c>
      <c r="D169" s="23" t="s">
        <v>3685</v>
      </c>
      <c r="E169" s="23" t="s">
        <v>3259</v>
      </c>
      <c r="F169" s="23" t="s">
        <v>2460</v>
      </c>
      <c r="G169" s="23" t="s">
        <v>2463</v>
      </c>
      <c r="H169" s="23" t="s">
        <v>3500</v>
      </c>
      <c r="I169" s="23" t="s">
        <v>2464</v>
      </c>
      <c r="J169" s="23" t="s">
        <v>2465</v>
      </c>
      <c r="K169" s="23" t="s">
        <v>2466</v>
      </c>
      <c r="L169" s="773" t="s">
        <v>2467</v>
      </c>
      <c r="M169" s="23" t="s">
        <v>2468</v>
      </c>
      <c r="N169" s="773" t="s">
        <v>2469</v>
      </c>
    </row>
    <row r="170" spans="1:14" s="23" customFormat="1" ht="17.399999999999999">
      <c r="A170" s="767" t="s">
        <v>884</v>
      </c>
      <c r="B170" s="767" t="s">
        <v>885</v>
      </c>
      <c r="C170" s="768" t="s">
        <v>886</v>
      </c>
      <c r="D170" s="767" t="s">
        <v>3686</v>
      </c>
      <c r="E170" s="768" t="s">
        <v>3122</v>
      </c>
      <c r="F170" s="768" t="s">
        <v>887</v>
      </c>
      <c r="G170" s="768" t="s">
        <v>482</v>
      </c>
      <c r="H170" s="767" t="s">
        <v>3501</v>
      </c>
      <c r="I170" s="767" t="s">
        <v>889</v>
      </c>
      <c r="J170" s="767" t="s">
        <v>890</v>
      </c>
      <c r="K170" s="20" t="s">
        <v>891</v>
      </c>
      <c r="L170" s="769" t="s">
        <v>892</v>
      </c>
      <c r="M170" s="767" t="s">
        <v>893</v>
      </c>
      <c r="N170" s="767" t="s">
        <v>894</v>
      </c>
    </row>
    <row r="171" spans="1:14" s="23" customFormat="1">
      <c r="A171" s="20" t="s">
        <v>3764</v>
      </c>
      <c r="B171" s="20" t="s">
        <v>3764</v>
      </c>
      <c r="C171" s="20" t="s">
        <v>4293</v>
      </c>
      <c r="D171" s="20" t="s">
        <v>3764</v>
      </c>
      <c r="E171" s="20" t="s">
        <v>3764</v>
      </c>
      <c r="F171" s="20" t="s">
        <v>3764</v>
      </c>
      <c r="G171" s="20" t="s">
        <v>3824</v>
      </c>
      <c r="H171" s="20" t="s">
        <v>3764</v>
      </c>
      <c r="I171" s="20" t="s">
        <v>3764</v>
      </c>
      <c r="J171" s="20" t="s">
        <v>3764</v>
      </c>
      <c r="K171" s="20" t="s">
        <v>3764</v>
      </c>
      <c r="L171" s="20" t="s">
        <v>3764</v>
      </c>
      <c r="M171" s="20" t="s">
        <v>3764</v>
      </c>
      <c r="N171" s="20" t="s">
        <v>3764</v>
      </c>
    </row>
    <row r="172" spans="1:14" s="23" customFormat="1" ht="17.399999999999999">
      <c r="A172" s="20" t="s">
        <v>895</v>
      </c>
      <c r="B172" s="20" t="s">
        <v>896</v>
      </c>
      <c r="C172" s="768" t="s">
        <v>897</v>
      </c>
      <c r="D172" s="20" t="s">
        <v>898</v>
      </c>
      <c r="E172" s="768" t="s">
        <v>3123</v>
      </c>
      <c r="F172" s="768" t="s">
        <v>899</v>
      </c>
      <c r="G172" s="768" t="s">
        <v>900</v>
      </c>
      <c r="H172" s="20" t="s">
        <v>3502</v>
      </c>
      <c r="I172" s="20" t="s">
        <v>901</v>
      </c>
      <c r="J172" s="20" t="s">
        <v>902</v>
      </c>
      <c r="K172" s="20" t="s">
        <v>903</v>
      </c>
      <c r="L172" s="770" t="s">
        <v>895</v>
      </c>
      <c r="M172" s="20" t="s">
        <v>904</v>
      </c>
      <c r="N172" s="20" t="s">
        <v>905</v>
      </c>
    </row>
    <row r="173" spans="1:14" s="23" customFormat="1" ht="17.399999999999999">
      <c r="A173" s="20" t="s">
        <v>906</v>
      </c>
      <c r="B173" s="20" t="s">
        <v>907</v>
      </c>
      <c r="C173" s="768" t="s">
        <v>4294</v>
      </c>
      <c r="D173" s="20" t="s">
        <v>908</v>
      </c>
      <c r="E173" s="768" t="s">
        <v>3124</v>
      </c>
      <c r="F173" s="768" t="s">
        <v>909</v>
      </c>
      <c r="G173" s="768" t="s">
        <v>910</v>
      </c>
      <c r="H173" s="20" t="s">
        <v>3503</v>
      </c>
      <c r="I173" s="20" t="s">
        <v>911</v>
      </c>
      <c r="J173" s="20" t="s">
        <v>912</v>
      </c>
      <c r="K173" s="20" t="s">
        <v>913</v>
      </c>
      <c r="L173" s="770" t="s">
        <v>913</v>
      </c>
      <c r="M173" s="20" t="s">
        <v>913</v>
      </c>
      <c r="N173" s="20" t="s">
        <v>914</v>
      </c>
    </row>
    <row r="174" spans="1:14" s="23" customFormat="1" ht="17.399999999999999">
      <c r="A174" s="771" t="s">
        <v>2100</v>
      </c>
      <c r="B174" s="771" t="s">
        <v>2100</v>
      </c>
      <c r="C174" s="768" t="s">
        <v>2100</v>
      </c>
      <c r="D174" s="771" t="s">
        <v>2100</v>
      </c>
      <c r="E174" s="768" t="s">
        <v>2100</v>
      </c>
      <c r="F174" s="768" t="s">
        <v>2100</v>
      </c>
      <c r="G174" s="768" t="s">
        <v>2100</v>
      </c>
      <c r="H174" s="771" t="s">
        <v>2100</v>
      </c>
      <c r="I174" s="771" t="s">
        <v>2100</v>
      </c>
      <c r="J174" s="771" t="s">
        <v>2101</v>
      </c>
      <c r="K174" s="771" t="s">
        <v>2100</v>
      </c>
      <c r="L174" s="772" t="s">
        <v>2100</v>
      </c>
      <c r="M174" s="771" t="s">
        <v>2100</v>
      </c>
      <c r="N174" s="771" t="s">
        <v>2100</v>
      </c>
    </row>
    <row r="175" spans="1:14" s="23" customFormat="1" ht="17.399999999999999">
      <c r="A175" s="20" t="s">
        <v>915</v>
      </c>
      <c r="B175" s="20" t="s">
        <v>916</v>
      </c>
      <c r="C175" s="768" t="s">
        <v>917</v>
      </c>
      <c r="D175" s="20" t="s">
        <v>918</v>
      </c>
      <c r="E175" s="768" t="s">
        <v>3125</v>
      </c>
      <c r="F175" s="768" t="s">
        <v>919</v>
      </c>
      <c r="G175" s="768" t="s">
        <v>920</v>
      </c>
      <c r="H175" s="20" t="s">
        <v>3125</v>
      </c>
      <c r="I175" s="20" t="s">
        <v>921</v>
      </c>
      <c r="J175" s="20" t="s">
        <v>922</v>
      </c>
      <c r="K175" s="20" t="s">
        <v>923</v>
      </c>
      <c r="L175" s="770" t="s">
        <v>924</v>
      </c>
      <c r="M175" s="20" t="s">
        <v>925</v>
      </c>
      <c r="N175" s="20" t="s">
        <v>926</v>
      </c>
    </row>
    <row r="176" spans="1:14" s="23" customFormat="1">
      <c r="A176" s="775" t="s">
        <v>2140</v>
      </c>
      <c r="B176" s="803" t="s">
        <v>2140</v>
      </c>
      <c r="C176" s="776" t="s">
        <v>2140</v>
      </c>
      <c r="D176" s="775" t="s">
        <v>2140</v>
      </c>
      <c r="E176" s="776" t="s">
        <v>2140</v>
      </c>
      <c r="F176" s="776" t="s">
        <v>2140</v>
      </c>
      <c r="G176" s="776" t="s">
        <v>2140</v>
      </c>
      <c r="H176" s="775" t="s">
        <v>2140</v>
      </c>
      <c r="I176" s="775" t="s">
        <v>2140</v>
      </c>
      <c r="J176" s="803" t="s">
        <v>2141</v>
      </c>
      <c r="K176" s="775" t="s">
        <v>2140</v>
      </c>
      <c r="L176" s="803" t="s">
        <v>2140</v>
      </c>
      <c r="M176" s="775" t="s">
        <v>2140</v>
      </c>
      <c r="N176" s="803" t="s">
        <v>2140</v>
      </c>
    </row>
    <row r="177" spans="1:15" s="23" customFormat="1">
      <c r="A177" s="801" t="s">
        <v>2470</v>
      </c>
      <c r="B177" s="804" t="s">
        <v>2471</v>
      </c>
      <c r="C177" s="779" t="s">
        <v>2472</v>
      </c>
      <c r="D177" s="801" t="s">
        <v>3687</v>
      </c>
      <c r="E177" s="779" t="s">
        <v>3260</v>
      </c>
      <c r="F177" s="779" t="s">
        <v>2470</v>
      </c>
      <c r="G177" s="779" t="s">
        <v>2473</v>
      </c>
      <c r="H177" s="801" t="s">
        <v>3504</v>
      </c>
      <c r="I177" s="801" t="s">
        <v>2474</v>
      </c>
      <c r="J177" s="801" t="s">
        <v>2475</v>
      </c>
      <c r="K177" s="801" t="s">
        <v>2476</v>
      </c>
      <c r="L177" s="804" t="s">
        <v>2477</v>
      </c>
      <c r="M177" s="801" t="s">
        <v>2478</v>
      </c>
      <c r="N177" s="804" t="s">
        <v>2479</v>
      </c>
    </row>
    <row r="178" spans="1:15" s="23" customFormat="1">
      <c r="A178" s="777" t="s">
        <v>2480</v>
      </c>
      <c r="B178" s="778" t="s">
        <v>2481</v>
      </c>
      <c r="C178" s="779" t="s">
        <v>2482</v>
      </c>
      <c r="D178" s="777" t="s">
        <v>2480</v>
      </c>
      <c r="E178" s="780" t="s">
        <v>3261</v>
      </c>
      <c r="F178" s="780" t="s">
        <v>2480</v>
      </c>
      <c r="G178" s="780" t="s">
        <v>2483</v>
      </c>
      <c r="H178" s="777" t="s">
        <v>3505</v>
      </c>
      <c r="I178" s="777" t="s">
        <v>2484</v>
      </c>
      <c r="J178" s="777" t="s">
        <v>2485</v>
      </c>
      <c r="K178" s="777" t="s">
        <v>2486</v>
      </c>
      <c r="L178" s="778" t="s">
        <v>2486</v>
      </c>
      <c r="M178" s="777" t="s">
        <v>2487</v>
      </c>
      <c r="N178" s="778" t="s">
        <v>2488</v>
      </c>
    </row>
    <row r="179" spans="1:15" s="23" customFormat="1" ht="17.399999999999999">
      <c r="A179" s="20" t="s">
        <v>927</v>
      </c>
      <c r="B179" s="20" t="s">
        <v>4334</v>
      </c>
      <c r="C179" s="768" t="s">
        <v>928</v>
      </c>
      <c r="D179" s="20" t="s">
        <v>929</v>
      </c>
      <c r="E179" s="768" t="s">
        <v>3126</v>
      </c>
      <c r="F179" s="768" t="s">
        <v>930</v>
      </c>
      <c r="G179" s="768" t="s">
        <v>931</v>
      </c>
      <c r="H179" s="20" t="s">
        <v>3506</v>
      </c>
      <c r="I179" s="20" t="s">
        <v>932</v>
      </c>
      <c r="J179" s="20" t="s">
        <v>933</v>
      </c>
      <c r="K179" s="20" t="s">
        <v>934</v>
      </c>
      <c r="L179" s="770" t="s">
        <v>927</v>
      </c>
      <c r="M179" s="20" t="s">
        <v>935</v>
      </c>
      <c r="N179" s="20" t="s">
        <v>936</v>
      </c>
    </row>
    <row r="180" spans="1:15" s="23" customFormat="1" ht="43.2">
      <c r="A180" s="768" t="s">
        <v>1910</v>
      </c>
      <c r="B180" s="768" t="s">
        <v>1911</v>
      </c>
      <c r="C180" s="768" t="s">
        <v>4295</v>
      </c>
      <c r="D180" s="768" t="s">
        <v>3627</v>
      </c>
      <c r="E180" s="768" t="s">
        <v>3209</v>
      </c>
      <c r="F180" s="768" t="s">
        <v>1912</v>
      </c>
      <c r="G180" s="768" t="s">
        <v>1913</v>
      </c>
      <c r="H180" s="768" t="s">
        <v>3380</v>
      </c>
      <c r="I180" s="768" t="s">
        <v>1914</v>
      </c>
      <c r="J180" s="768" t="s">
        <v>1915</v>
      </c>
      <c r="K180" s="768" t="s">
        <v>1916</v>
      </c>
      <c r="L180" s="784" t="s">
        <v>1917</v>
      </c>
      <c r="M180" s="768" t="s">
        <v>1918</v>
      </c>
      <c r="N180" s="768" t="s">
        <v>1919</v>
      </c>
    </row>
    <row r="181" spans="1:15" s="23" customFormat="1">
      <c r="A181" s="20" t="s">
        <v>183</v>
      </c>
      <c r="B181" s="20" t="s">
        <v>4335</v>
      </c>
      <c r="C181" s="20" t="s">
        <v>4296</v>
      </c>
      <c r="D181" s="20" t="s">
        <v>3688</v>
      </c>
      <c r="E181" s="20" t="s">
        <v>3329</v>
      </c>
      <c r="F181" s="20" t="s">
        <v>183</v>
      </c>
      <c r="G181" s="20" t="s">
        <v>3819</v>
      </c>
      <c r="H181" s="20" t="s">
        <v>3507</v>
      </c>
      <c r="I181" s="20" t="s">
        <v>183</v>
      </c>
      <c r="J181" s="20" t="s">
        <v>183</v>
      </c>
      <c r="K181" s="20" t="s">
        <v>183</v>
      </c>
      <c r="L181" s="20" t="s">
        <v>183</v>
      </c>
      <c r="M181" s="20" t="s">
        <v>183</v>
      </c>
      <c r="N181" s="20" t="s">
        <v>183</v>
      </c>
    </row>
    <row r="182" spans="1:15" s="23" customFormat="1">
      <c r="A182" s="799" t="s">
        <v>3045</v>
      </c>
      <c r="B182" s="775" t="s">
        <v>4336</v>
      </c>
      <c r="C182" s="776" t="s">
        <v>4297</v>
      </c>
      <c r="D182" s="799" t="s">
        <v>3689</v>
      </c>
      <c r="E182" s="805" t="s">
        <v>3330</v>
      </c>
      <c r="F182" s="805" t="s">
        <v>3045</v>
      </c>
      <c r="G182" s="805" t="s">
        <v>3820</v>
      </c>
      <c r="H182" s="799" t="s">
        <v>3508</v>
      </c>
      <c r="I182" s="799" t="s">
        <v>3045</v>
      </c>
      <c r="J182" s="799" t="s">
        <v>3045</v>
      </c>
      <c r="K182" s="799" t="s">
        <v>3374</v>
      </c>
      <c r="L182" s="775" t="s">
        <v>4356</v>
      </c>
      <c r="M182" s="799" t="s">
        <v>3045</v>
      </c>
      <c r="N182" s="799" t="s">
        <v>3045</v>
      </c>
      <c r="O182"/>
    </row>
    <row r="183" spans="1:15" s="23" customFormat="1" ht="17.399999999999999">
      <c r="A183" s="800" t="s">
        <v>937</v>
      </c>
      <c r="B183" s="800" t="s">
        <v>938</v>
      </c>
      <c r="C183" s="782" t="s">
        <v>4235</v>
      </c>
      <c r="D183" s="800" t="s">
        <v>939</v>
      </c>
      <c r="E183" s="782" t="s">
        <v>3127</v>
      </c>
      <c r="F183" s="782" t="s">
        <v>940</v>
      </c>
      <c r="G183" s="782" t="s">
        <v>941</v>
      </c>
      <c r="H183" s="800" t="s">
        <v>3509</v>
      </c>
      <c r="I183" s="800" t="s">
        <v>942</v>
      </c>
      <c r="J183" s="800" t="s">
        <v>943</v>
      </c>
      <c r="K183" s="781" t="s">
        <v>944</v>
      </c>
      <c r="L183" s="808" t="s">
        <v>945</v>
      </c>
      <c r="M183" s="800" t="s">
        <v>946</v>
      </c>
      <c r="N183" s="800" t="s">
        <v>947</v>
      </c>
    </row>
    <row r="184" spans="1:15" s="23" customFormat="1" ht="17.399999999999999">
      <c r="A184" s="658" t="s">
        <v>3912</v>
      </c>
      <c r="B184" s="660" t="s">
        <v>938</v>
      </c>
      <c r="C184" s="768" t="s">
        <v>4235</v>
      </c>
      <c r="D184" s="660" t="s">
        <v>939</v>
      </c>
      <c r="E184" s="659" t="s">
        <v>3127</v>
      </c>
      <c r="F184" s="659" t="s">
        <v>940</v>
      </c>
      <c r="G184" s="659" t="s">
        <v>941</v>
      </c>
      <c r="H184" s="660" t="s">
        <v>3509</v>
      </c>
      <c r="I184" s="660" t="s">
        <v>942</v>
      </c>
      <c r="J184" s="660" t="s">
        <v>943</v>
      </c>
      <c r="K184" s="658" t="s">
        <v>944</v>
      </c>
      <c r="L184" s="661" t="s">
        <v>945</v>
      </c>
      <c r="M184" s="660" t="s">
        <v>946</v>
      </c>
      <c r="N184" s="660" t="s">
        <v>947</v>
      </c>
      <c r="O184"/>
    </row>
    <row r="185" spans="1:15" s="23" customFormat="1" ht="17.399999999999999">
      <c r="A185" s="658" t="s">
        <v>3913</v>
      </c>
      <c r="B185" s="660" t="s">
        <v>938</v>
      </c>
      <c r="C185" s="768" t="s">
        <v>4235</v>
      </c>
      <c r="D185" s="660" t="s">
        <v>939</v>
      </c>
      <c r="E185" s="659" t="s">
        <v>3127</v>
      </c>
      <c r="F185" s="659" t="s">
        <v>940</v>
      </c>
      <c r="G185" s="659" t="s">
        <v>941</v>
      </c>
      <c r="H185" s="660" t="s">
        <v>3509</v>
      </c>
      <c r="I185" s="660" t="s">
        <v>942</v>
      </c>
      <c r="J185" s="660" t="s">
        <v>943</v>
      </c>
      <c r="K185" s="658" t="s">
        <v>944</v>
      </c>
      <c r="L185" s="661" t="s">
        <v>945</v>
      </c>
      <c r="M185" s="660" t="s">
        <v>946</v>
      </c>
      <c r="N185" s="660" t="s">
        <v>947</v>
      </c>
      <c r="O185"/>
    </row>
    <row r="186" spans="1:15" s="23" customFormat="1" ht="17.399999999999999">
      <c r="A186" s="20" t="s">
        <v>948</v>
      </c>
      <c r="B186" s="20" t="s">
        <v>949</v>
      </c>
      <c r="C186" s="768" t="s">
        <v>4236</v>
      </c>
      <c r="D186" s="20" t="s">
        <v>950</v>
      </c>
      <c r="E186" s="768" t="s">
        <v>3128</v>
      </c>
      <c r="F186" s="768" t="s">
        <v>951</v>
      </c>
      <c r="G186" s="768" t="s">
        <v>952</v>
      </c>
      <c r="H186" s="20" t="s">
        <v>3510</v>
      </c>
      <c r="I186" s="20" t="s">
        <v>953</v>
      </c>
      <c r="J186" s="20" t="s">
        <v>954</v>
      </c>
      <c r="K186" s="20" t="s">
        <v>955</v>
      </c>
      <c r="L186" s="770" t="s">
        <v>956</v>
      </c>
      <c r="M186" s="20" t="s">
        <v>957</v>
      </c>
      <c r="N186" s="20" t="s">
        <v>958</v>
      </c>
    </row>
    <row r="187" spans="1:15" s="23" customFormat="1" ht="17.399999999999999">
      <c r="A187" s="20" t="s">
        <v>959</v>
      </c>
      <c r="B187" s="20" t="s">
        <v>960</v>
      </c>
      <c r="C187" s="768" t="s">
        <v>4237</v>
      </c>
      <c r="D187" s="20" t="s">
        <v>961</v>
      </c>
      <c r="E187" s="768" t="s">
        <v>3129</v>
      </c>
      <c r="F187" s="768" t="s">
        <v>962</v>
      </c>
      <c r="G187" s="768" t="s">
        <v>963</v>
      </c>
      <c r="H187" s="20" t="s">
        <v>3511</v>
      </c>
      <c r="I187" s="20" t="s">
        <v>964</v>
      </c>
      <c r="J187" s="20" t="s">
        <v>965</v>
      </c>
      <c r="K187" s="20" t="s">
        <v>966</v>
      </c>
      <c r="L187" s="770" t="s">
        <v>967</v>
      </c>
      <c r="M187" s="20" t="s">
        <v>968</v>
      </c>
      <c r="N187" s="20" t="s">
        <v>969</v>
      </c>
    </row>
    <row r="188" spans="1:15" s="23" customFormat="1" ht="17.399999999999999">
      <c r="A188" s="20" t="s">
        <v>3860</v>
      </c>
      <c r="B188" s="20" t="s">
        <v>970</v>
      </c>
      <c r="C188" s="768" t="s">
        <v>4298</v>
      </c>
      <c r="D188" s="20" t="s">
        <v>971</v>
      </c>
      <c r="E188" s="768" t="s">
        <v>3130</v>
      </c>
      <c r="F188" s="768" t="s">
        <v>972</v>
      </c>
      <c r="G188" s="768" t="s">
        <v>973</v>
      </c>
      <c r="H188" s="20" t="s">
        <v>3512</v>
      </c>
      <c r="I188" s="20" t="s">
        <v>974</v>
      </c>
      <c r="J188" s="20" t="s">
        <v>975</v>
      </c>
      <c r="K188" s="20" t="s">
        <v>976</v>
      </c>
      <c r="L188" s="770" t="s">
        <v>977</v>
      </c>
      <c r="M188" s="20" t="s">
        <v>978</v>
      </c>
      <c r="N188" s="20" t="s">
        <v>979</v>
      </c>
    </row>
    <row r="189" spans="1:15" s="23" customFormat="1" ht="17.399999999999999">
      <c r="A189" s="20" t="s">
        <v>760</v>
      </c>
      <c r="B189" s="20" t="s">
        <v>761</v>
      </c>
      <c r="C189" s="768" t="s">
        <v>4238</v>
      </c>
      <c r="D189" s="20" t="s">
        <v>762</v>
      </c>
      <c r="E189" s="768" t="s">
        <v>3112</v>
      </c>
      <c r="F189" s="768" t="s">
        <v>763</v>
      </c>
      <c r="G189" s="768" t="s">
        <v>764</v>
      </c>
      <c r="H189" s="20" t="s">
        <v>3513</v>
      </c>
      <c r="I189" s="20" t="s">
        <v>765</v>
      </c>
      <c r="J189" s="20" t="s">
        <v>766</v>
      </c>
      <c r="K189" s="20" t="s">
        <v>767</v>
      </c>
      <c r="L189" s="770" t="s">
        <v>768</v>
      </c>
      <c r="M189" s="20" t="s">
        <v>769</v>
      </c>
      <c r="N189" s="20" t="s">
        <v>770</v>
      </c>
    </row>
    <row r="190" spans="1:15" s="23" customFormat="1" ht="17.399999999999999">
      <c r="A190" s="20" t="s">
        <v>980</v>
      </c>
      <c r="B190" s="20" t="s">
        <v>981</v>
      </c>
      <c r="C190" s="768" t="s">
        <v>982</v>
      </c>
      <c r="D190" s="20" t="s">
        <v>983</v>
      </c>
      <c r="E190" s="768" t="s">
        <v>3131</v>
      </c>
      <c r="F190" s="768" t="s">
        <v>984</v>
      </c>
      <c r="G190" s="768" t="s">
        <v>985</v>
      </c>
      <c r="H190" s="20" t="s">
        <v>3514</v>
      </c>
      <c r="I190" s="20" t="s">
        <v>986</v>
      </c>
      <c r="J190" s="20" t="s">
        <v>987</v>
      </c>
      <c r="K190" s="20" t="s">
        <v>988</v>
      </c>
      <c r="L190" s="770" t="s">
        <v>989</v>
      </c>
      <c r="M190" s="20" t="s">
        <v>989</v>
      </c>
      <c r="N190" s="20" t="s">
        <v>990</v>
      </c>
    </row>
    <row r="191" spans="1:15" s="23" customFormat="1" ht="17.399999999999999">
      <c r="A191" s="20" t="s">
        <v>991</v>
      </c>
      <c r="B191" s="20" t="s">
        <v>992</v>
      </c>
      <c r="C191" s="768" t="s">
        <v>4239</v>
      </c>
      <c r="D191" s="20" t="s">
        <v>993</v>
      </c>
      <c r="E191" s="768" t="s">
        <v>3132</v>
      </c>
      <c r="F191" s="768" t="s">
        <v>994</v>
      </c>
      <c r="G191" s="768" t="s">
        <v>995</v>
      </c>
      <c r="H191" s="20" t="s">
        <v>3515</v>
      </c>
      <c r="I191" s="20" t="s">
        <v>991</v>
      </c>
      <c r="J191" s="20" t="s">
        <v>996</v>
      </c>
      <c r="K191" s="20" t="s">
        <v>997</v>
      </c>
      <c r="L191" s="770" t="s">
        <v>998</v>
      </c>
      <c r="M191" s="20" t="s">
        <v>998</v>
      </c>
      <c r="N191" s="20" t="s">
        <v>999</v>
      </c>
    </row>
    <row r="192" spans="1:15" s="23" customFormat="1" ht="17.399999999999999">
      <c r="A192" s="771" t="s">
        <v>2102</v>
      </c>
      <c r="B192" s="771" t="s">
        <v>2102</v>
      </c>
      <c r="C192" s="768" t="s">
        <v>2102</v>
      </c>
      <c r="D192" s="771" t="s">
        <v>2102</v>
      </c>
      <c r="E192" s="768" t="s">
        <v>2102</v>
      </c>
      <c r="F192" s="768" t="s">
        <v>2102</v>
      </c>
      <c r="G192" s="768" t="s">
        <v>2102</v>
      </c>
      <c r="H192" s="771" t="s">
        <v>2102</v>
      </c>
      <c r="I192" s="771" t="s">
        <v>2102</v>
      </c>
      <c r="J192" s="771" t="s">
        <v>2103</v>
      </c>
      <c r="K192" s="771" t="s">
        <v>2102</v>
      </c>
      <c r="L192" s="772" t="s">
        <v>2104</v>
      </c>
      <c r="M192" s="771" t="s">
        <v>2102</v>
      </c>
      <c r="N192" s="771" t="s">
        <v>2102</v>
      </c>
    </row>
    <row r="193" spans="1:14" s="23" customFormat="1">
      <c r="A193" s="23" t="s">
        <v>2489</v>
      </c>
      <c r="B193" s="773" t="s">
        <v>2490</v>
      </c>
      <c r="C193" s="23" t="s">
        <v>2491</v>
      </c>
      <c r="D193" s="23" t="s">
        <v>3690</v>
      </c>
      <c r="E193" s="23" t="s">
        <v>3262</v>
      </c>
      <c r="F193" s="23" t="s">
        <v>2489</v>
      </c>
      <c r="G193" s="23" t="s">
        <v>2492</v>
      </c>
      <c r="H193" s="23" t="s">
        <v>3516</v>
      </c>
      <c r="I193" s="23" t="s">
        <v>2493</v>
      </c>
      <c r="J193" s="23" t="s">
        <v>2494</v>
      </c>
      <c r="K193" s="23" t="s">
        <v>2495</v>
      </c>
      <c r="L193" s="773" t="s">
        <v>2496</v>
      </c>
      <c r="M193" s="23" t="s">
        <v>2495</v>
      </c>
      <c r="N193" s="773" t="s">
        <v>2497</v>
      </c>
    </row>
    <row r="194" spans="1:14" s="23" customFormat="1">
      <c r="A194" s="23" t="s">
        <v>2722</v>
      </c>
      <c r="B194" s="20" t="s">
        <v>2723</v>
      </c>
      <c r="C194" s="20" t="s">
        <v>4299</v>
      </c>
      <c r="D194" s="20" t="s">
        <v>3691</v>
      </c>
      <c r="E194" s="23" t="s">
        <v>3286</v>
      </c>
      <c r="F194" s="20" t="s">
        <v>2724</v>
      </c>
      <c r="G194" s="20" t="s">
        <v>2725</v>
      </c>
      <c r="H194" s="23" t="s">
        <v>3517</v>
      </c>
      <c r="I194" s="20" t="s">
        <v>2726</v>
      </c>
      <c r="J194" s="20" t="s">
        <v>2727</v>
      </c>
      <c r="K194" s="20" t="s">
        <v>2728</v>
      </c>
      <c r="L194" s="774" t="s">
        <v>2729</v>
      </c>
      <c r="M194" s="774" t="s">
        <v>2730</v>
      </c>
      <c r="N194" s="774" t="s">
        <v>2731</v>
      </c>
    </row>
    <row r="195" spans="1:14" s="23" customFormat="1">
      <c r="A195" s="23" t="s">
        <v>2732</v>
      </c>
      <c r="B195" s="20" t="s">
        <v>2733</v>
      </c>
      <c r="C195" s="20" t="s">
        <v>4300</v>
      </c>
      <c r="D195" s="20" t="s">
        <v>3692</v>
      </c>
      <c r="E195" s="23" t="s">
        <v>3287</v>
      </c>
      <c r="F195" s="20" t="s">
        <v>2734</v>
      </c>
      <c r="G195" s="20" t="s">
        <v>2735</v>
      </c>
      <c r="H195" s="23" t="s">
        <v>3518</v>
      </c>
      <c r="I195" s="20" t="s">
        <v>2736</v>
      </c>
      <c r="J195" s="20" t="s">
        <v>2737</v>
      </c>
      <c r="K195" s="20" t="s">
        <v>2738</v>
      </c>
      <c r="L195" s="774" t="s">
        <v>2739</v>
      </c>
      <c r="M195" s="774" t="s">
        <v>2740</v>
      </c>
      <c r="N195" s="774" t="s">
        <v>2741</v>
      </c>
    </row>
    <row r="196" spans="1:14" s="23" customFormat="1" ht="17.399999999999999">
      <c r="A196" s="20" t="s">
        <v>1000</v>
      </c>
      <c r="B196" s="20" t="s">
        <v>4337</v>
      </c>
      <c r="C196" s="768" t="s">
        <v>1001</v>
      </c>
      <c r="D196" s="20" t="s">
        <v>1002</v>
      </c>
      <c r="E196" s="768" t="s">
        <v>3133</v>
      </c>
      <c r="F196" s="768" t="s">
        <v>1003</v>
      </c>
      <c r="G196" s="768" t="s">
        <v>1004</v>
      </c>
      <c r="H196" s="20" t="s">
        <v>3519</v>
      </c>
      <c r="I196" s="20" t="s">
        <v>1005</v>
      </c>
      <c r="J196" s="20" t="s">
        <v>1006</v>
      </c>
      <c r="K196" s="20" t="s">
        <v>1007</v>
      </c>
      <c r="L196" s="770" t="s">
        <v>4357</v>
      </c>
      <c r="M196" s="20" t="s">
        <v>1008</v>
      </c>
      <c r="N196" s="20" t="s">
        <v>1009</v>
      </c>
    </row>
    <row r="197" spans="1:14" s="23" customFormat="1">
      <c r="A197" s="768" t="s">
        <v>3327</v>
      </c>
      <c r="B197" s="768" t="s">
        <v>4338</v>
      </c>
      <c r="C197" s="768" t="s">
        <v>4301</v>
      </c>
      <c r="D197" s="768" t="s">
        <v>3693</v>
      </c>
      <c r="E197" s="768" t="s">
        <v>3327</v>
      </c>
      <c r="F197" s="768" t="s">
        <v>3327</v>
      </c>
      <c r="G197" s="806" t="s">
        <v>3834</v>
      </c>
      <c r="H197" s="768" t="s">
        <v>3520</v>
      </c>
      <c r="I197" s="768" t="s">
        <v>3327</v>
      </c>
      <c r="J197" s="768" t="s">
        <v>3327</v>
      </c>
      <c r="K197" s="768" t="s">
        <v>3375</v>
      </c>
      <c r="L197" s="768" t="s">
        <v>4358</v>
      </c>
      <c r="M197" s="768" t="s">
        <v>3327</v>
      </c>
      <c r="N197" s="768" t="s">
        <v>3327</v>
      </c>
    </row>
    <row r="198" spans="1:14" s="23" customFormat="1" ht="17.399999999999999">
      <c r="A198" s="768" t="s">
        <v>1010</v>
      </c>
      <c r="B198" s="768" t="s">
        <v>1011</v>
      </c>
      <c r="C198" s="768" t="s">
        <v>4302</v>
      </c>
      <c r="D198" s="768" t="s">
        <v>1012</v>
      </c>
      <c r="E198" s="768" t="s">
        <v>3134</v>
      </c>
      <c r="F198" s="768" t="s">
        <v>1013</v>
      </c>
      <c r="G198" s="768" t="s">
        <v>1014</v>
      </c>
      <c r="H198" s="768" t="s">
        <v>3521</v>
      </c>
      <c r="I198" s="768" t="s">
        <v>1015</v>
      </c>
      <c r="J198" s="768" t="s">
        <v>1016</v>
      </c>
      <c r="K198" s="807" t="s">
        <v>1017</v>
      </c>
      <c r="L198" s="784" t="s">
        <v>1018</v>
      </c>
      <c r="M198" s="768" t="s">
        <v>1019</v>
      </c>
      <c r="N198" s="768" t="s">
        <v>1020</v>
      </c>
    </row>
    <row r="199" spans="1:14" s="23" customFormat="1">
      <c r="A199" s="754" t="s">
        <v>2498</v>
      </c>
      <c r="B199" s="802" t="s">
        <v>2499</v>
      </c>
      <c r="C199" s="754" t="s">
        <v>2500</v>
      </c>
      <c r="D199" s="754" t="s">
        <v>3694</v>
      </c>
      <c r="E199" s="754" t="s">
        <v>3263</v>
      </c>
      <c r="F199" s="754" t="s">
        <v>2498</v>
      </c>
      <c r="G199" s="754" t="s">
        <v>2501</v>
      </c>
      <c r="H199" s="754" t="s">
        <v>3522</v>
      </c>
      <c r="I199" s="754" t="s">
        <v>2502</v>
      </c>
      <c r="J199" s="754" t="s">
        <v>2503</v>
      </c>
      <c r="K199" s="754" t="s">
        <v>2504</v>
      </c>
      <c r="L199" s="802" t="s">
        <v>2505</v>
      </c>
      <c r="M199" s="754" t="s">
        <v>2506</v>
      </c>
      <c r="N199" s="802" t="s">
        <v>2507</v>
      </c>
    </row>
    <row r="200" spans="1:14" s="23" customFormat="1">
      <c r="A200" s="23" t="s">
        <v>2508</v>
      </c>
      <c r="B200" s="773" t="s">
        <v>2509</v>
      </c>
      <c r="C200" s="23" t="s">
        <v>2510</v>
      </c>
      <c r="D200" s="23" t="s">
        <v>3695</v>
      </c>
      <c r="E200" s="23" t="s">
        <v>3264</v>
      </c>
      <c r="F200" s="23" t="s">
        <v>2508</v>
      </c>
      <c r="G200" s="23" t="s">
        <v>2511</v>
      </c>
      <c r="H200" s="23" t="s">
        <v>3523</v>
      </c>
      <c r="I200" s="23" t="s">
        <v>2512</v>
      </c>
      <c r="J200" s="23" t="s">
        <v>2513</v>
      </c>
      <c r="K200" s="23" t="s">
        <v>2514</v>
      </c>
      <c r="L200" s="773" t="s">
        <v>2515</v>
      </c>
      <c r="M200" s="23" t="s">
        <v>2516</v>
      </c>
      <c r="N200" s="773" t="s">
        <v>2517</v>
      </c>
    </row>
    <row r="201" spans="1:14" s="23" customFormat="1">
      <c r="A201" s="23" t="s">
        <v>2518</v>
      </c>
      <c r="B201" s="773" t="s">
        <v>2519</v>
      </c>
      <c r="C201" s="23" t="s">
        <v>2520</v>
      </c>
      <c r="D201" s="23" t="s">
        <v>3696</v>
      </c>
      <c r="E201" s="23" t="s">
        <v>3265</v>
      </c>
      <c r="F201" s="23" t="s">
        <v>2518</v>
      </c>
      <c r="G201" s="23" t="s">
        <v>2521</v>
      </c>
      <c r="H201" s="23" t="s">
        <v>3524</v>
      </c>
      <c r="I201" s="23" t="s">
        <v>2522</v>
      </c>
      <c r="J201" s="23" t="s">
        <v>2523</v>
      </c>
      <c r="K201" s="23" t="s">
        <v>2524</v>
      </c>
      <c r="L201" s="773" t="s">
        <v>2525</v>
      </c>
      <c r="M201" s="23" t="s">
        <v>2526</v>
      </c>
      <c r="N201" s="773" t="s">
        <v>2527</v>
      </c>
    </row>
    <row r="202" spans="1:14" s="23" customFormat="1">
      <c r="A202" s="23" t="s">
        <v>2528</v>
      </c>
      <c r="B202" s="773" t="s">
        <v>2529</v>
      </c>
      <c r="C202" s="23" t="s">
        <v>2530</v>
      </c>
      <c r="D202" s="23" t="s">
        <v>3697</v>
      </c>
      <c r="E202" s="23" t="s">
        <v>3266</v>
      </c>
      <c r="F202" s="23" t="s">
        <v>2528</v>
      </c>
      <c r="G202" s="23" t="s">
        <v>2531</v>
      </c>
      <c r="H202" s="23" t="s">
        <v>3525</v>
      </c>
      <c r="I202" s="23" t="s">
        <v>2532</v>
      </c>
      <c r="J202" s="23" t="s">
        <v>2533</v>
      </c>
      <c r="K202" s="23" t="s">
        <v>2534</v>
      </c>
      <c r="L202" s="773" t="s">
        <v>2535</v>
      </c>
      <c r="M202" s="23" t="s">
        <v>2536</v>
      </c>
      <c r="N202" s="773" t="s">
        <v>2537</v>
      </c>
    </row>
    <row r="203" spans="1:14" s="23" customFormat="1">
      <c r="A203" s="754" t="s">
        <v>2538</v>
      </c>
      <c r="B203" s="802" t="s">
        <v>2539</v>
      </c>
      <c r="C203" s="754" t="s">
        <v>2540</v>
      </c>
      <c r="D203" s="754" t="s">
        <v>3698</v>
      </c>
      <c r="E203" s="754" t="s">
        <v>3267</v>
      </c>
      <c r="F203" s="754" t="s">
        <v>2538</v>
      </c>
      <c r="G203" s="754" t="s">
        <v>2541</v>
      </c>
      <c r="H203" s="754" t="s">
        <v>3526</v>
      </c>
      <c r="I203" s="754" t="s">
        <v>2542</v>
      </c>
      <c r="J203" s="754" t="s">
        <v>2543</v>
      </c>
      <c r="K203" s="754" t="s">
        <v>2544</v>
      </c>
      <c r="L203" s="802" t="s">
        <v>2545</v>
      </c>
      <c r="M203" s="754" t="s">
        <v>2546</v>
      </c>
      <c r="N203" s="802" t="s">
        <v>2547</v>
      </c>
    </row>
    <row r="204" spans="1:14" s="23" customFormat="1">
      <c r="A204" s="768" t="s">
        <v>3788</v>
      </c>
      <c r="B204" s="768" t="s">
        <v>3788</v>
      </c>
      <c r="C204" s="768" t="s">
        <v>3788</v>
      </c>
      <c r="D204" s="768" t="s">
        <v>3788</v>
      </c>
      <c r="E204" s="768" t="s">
        <v>3788</v>
      </c>
      <c r="F204" s="768" t="s">
        <v>3788</v>
      </c>
      <c r="G204" s="768" t="s">
        <v>3832</v>
      </c>
      <c r="H204" s="768" t="s">
        <v>3788</v>
      </c>
      <c r="I204" s="768" t="s">
        <v>3788</v>
      </c>
      <c r="J204" s="768" t="s">
        <v>3788</v>
      </c>
      <c r="K204" s="768" t="s">
        <v>3788</v>
      </c>
      <c r="L204" s="768" t="s">
        <v>3788</v>
      </c>
      <c r="M204" s="768" t="s">
        <v>3788</v>
      </c>
      <c r="N204" s="768" t="s">
        <v>3788</v>
      </c>
    </row>
    <row r="205" spans="1:14" s="23" customFormat="1" ht="17.399999999999999">
      <c r="A205" s="767" t="s">
        <v>1021</v>
      </c>
      <c r="B205" s="767" t="s">
        <v>1022</v>
      </c>
      <c r="C205" s="768" t="s">
        <v>1023</v>
      </c>
      <c r="D205" s="767" t="s">
        <v>1024</v>
      </c>
      <c r="E205" s="768" t="s">
        <v>3135</v>
      </c>
      <c r="F205" s="768" t="s">
        <v>1025</v>
      </c>
      <c r="G205" s="768" t="s">
        <v>1026</v>
      </c>
      <c r="H205" s="767" t="s">
        <v>3527</v>
      </c>
      <c r="I205" s="767" t="s">
        <v>1027</v>
      </c>
      <c r="J205" s="767" t="s">
        <v>1028</v>
      </c>
      <c r="K205" s="767" t="s">
        <v>1029</v>
      </c>
      <c r="L205" s="769" t="s">
        <v>1030</v>
      </c>
      <c r="M205" s="767" t="s">
        <v>1031</v>
      </c>
      <c r="N205" s="767" t="s">
        <v>1032</v>
      </c>
    </row>
    <row r="206" spans="1:14" s="23" customFormat="1" ht="17.399999999999999">
      <c r="A206" s="767" t="s">
        <v>1033</v>
      </c>
      <c r="B206" s="767" t="s">
        <v>1034</v>
      </c>
      <c r="C206" s="768" t="s">
        <v>4240</v>
      </c>
      <c r="D206" s="767" t="s">
        <v>1035</v>
      </c>
      <c r="E206" s="768" t="s">
        <v>3136</v>
      </c>
      <c r="F206" s="768" t="s">
        <v>1036</v>
      </c>
      <c r="G206" s="768" t="s">
        <v>1037</v>
      </c>
      <c r="H206" s="767" t="s">
        <v>3528</v>
      </c>
      <c r="I206" s="767" t="s">
        <v>1038</v>
      </c>
      <c r="J206" s="767" t="s">
        <v>1039</v>
      </c>
      <c r="K206" s="767" t="s">
        <v>1040</v>
      </c>
      <c r="L206" s="769" t="s">
        <v>1041</v>
      </c>
      <c r="M206" s="767" t="s">
        <v>1042</v>
      </c>
      <c r="N206" s="767" t="s">
        <v>1043</v>
      </c>
    </row>
    <row r="207" spans="1:14" s="23" customFormat="1">
      <c r="A207" s="20" t="s">
        <v>3787</v>
      </c>
      <c r="B207" s="20" t="s">
        <v>4339</v>
      </c>
      <c r="C207" s="20" t="s">
        <v>4303</v>
      </c>
      <c r="D207" s="20" t="s">
        <v>3787</v>
      </c>
      <c r="E207" s="20" t="s">
        <v>3787</v>
      </c>
      <c r="F207" s="20" t="s">
        <v>3787</v>
      </c>
      <c r="G207" s="20" t="s">
        <v>3831</v>
      </c>
      <c r="H207" s="20" t="s">
        <v>3787</v>
      </c>
      <c r="I207" s="20" t="s">
        <v>3787</v>
      </c>
      <c r="J207" s="20" t="s">
        <v>3787</v>
      </c>
      <c r="K207" s="20" t="s">
        <v>3787</v>
      </c>
      <c r="L207" s="20" t="s">
        <v>4359</v>
      </c>
      <c r="M207" s="20" t="s">
        <v>3787</v>
      </c>
      <c r="N207" s="20" t="s">
        <v>3787</v>
      </c>
    </row>
    <row r="208" spans="1:14" s="23" customFormat="1" ht="17.399999999999999">
      <c r="A208" s="20" t="s">
        <v>1044</v>
      </c>
      <c r="B208" s="20" t="s">
        <v>1045</v>
      </c>
      <c r="C208" s="768" t="s">
        <v>1046</v>
      </c>
      <c r="D208" s="20" t="s">
        <v>1047</v>
      </c>
      <c r="E208" s="768" t="s">
        <v>3137</v>
      </c>
      <c r="F208" s="768" t="s">
        <v>1048</v>
      </c>
      <c r="G208" s="768" t="s">
        <v>1049</v>
      </c>
      <c r="H208" s="20" t="s">
        <v>3529</v>
      </c>
      <c r="I208" s="20" t="s">
        <v>1050</v>
      </c>
      <c r="J208" s="20" t="s">
        <v>1051</v>
      </c>
      <c r="K208" s="20" t="s">
        <v>1044</v>
      </c>
      <c r="L208" s="770" t="s">
        <v>1044</v>
      </c>
      <c r="M208" s="20" t="s">
        <v>1044</v>
      </c>
      <c r="N208" s="20" t="s">
        <v>1044</v>
      </c>
    </row>
    <row r="209" spans="1:15" s="23" customFormat="1">
      <c r="A209" s="20" t="s">
        <v>3960</v>
      </c>
      <c r="B209" s="20" t="s">
        <v>3961</v>
      </c>
      <c r="C209" s="20" t="s">
        <v>4304</v>
      </c>
      <c r="D209" s="20" t="s">
        <v>3962</v>
      </c>
      <c r="E209" s="20" t="s">
        <v>3963</v>
      </c>
      <c r="F209" s="20" t="s">
        <v>3964</v>
      </c>
      <c r="G209" s="20" t="s">
        <v>3965</v>
      </c>
      <c r="H209" s="20" t="s">
        <v>3966</v>
      </c>
      <c r="I209" s="20" t="s">
        <v>3961</v>
      </c>
      <c r="J209" s="20" t="s">
        <v>3967</v>
      </c>
      <c r="K209" s="20" t="s">
        <v>3968</v>
      </c>
      <c r="L209" s="20" t="s">
        <v>3969</v>
      </c>
      <c r="M209" s="20" t="s">
        <v>3970</v>
      </c>
      <c r="N209" s="20" t="s">
        <v>3971</v>
      </c>
    </row>
    <row r="210" spans="1:15" s="23" customFormat="1">
      <c r="A210" s="23" t="s">
        <v>2548</v>
      </c>
      <c r="B210" s="773" t="s">
        <v>2549</v>
      </c>
      <c r="C210" s="23" t="s">
        <v>2550</v>
      </c>
      <c r="D210" s="23" t="s">
        <v>3699</v>
      </c>
      <c r="E210" s="23" t="s">
        <v>3268</v>
      </c>
      <c r="F210" s="23" t="s">
        <v>2548</v>
      </c>
      <c r="G210" s="23" t="s">
        <v>2551</v>
      </c>
      <c r="H210" s="23" t="s">
        <v>3530</v>
      </c>
      <c r="I210" s="23" t="s">
        <v>2552</v>
      </c>
      <c r="J210" s="23" t="s">
        <v>2553</v>
      </c>
      <c r="K210" s="23" t="s">
        <v>2554</v>
      </c>
      <c r="L210" s="773" t="s">
        <v>2555</v>
      </c>
      <c r="M210" s="23" t="s">
        <v>2556</v>
      </c>
      <c r="N210" s="773" t="s">
        <v>2557</v>
      </c>
    </row>
    <row r="211" spans="1:15" s="23" customFormat="1" ht="17.399999999999999">
      <c r="A211" s="20" t="s">
        <v>1052</v>
      </c>
      <c r="B211" s="20" t="s">
        <v>1052</v>
      </c>
      <c r="C211" s="768" t="s">
        <v>1053</v>
      </c>
      <c r="D211" s="20" t="s">
        <v>1054</v>
      </c>
      <c r="E211" s="768" t="s">
        <v>3138</v>
      </c>
      <c r="F211" s="768" t="s">
        <v>1055</v>
      </c>
      <c r="G211" s="768" t="s">
        <v>1056</v>
      </c>
      <c r="H211" s="20" t="s">
        <v>3531</v>
      </c>
      <c r="I211" s="20" t="s">
        <v>1057</v>
      </c>
      <c r="J211" s="20" t="s">
        <v>1058</v>
      </c>
      <c r="K211" s="20" t="s">
        <v>1059</v>
      </c>
      <c r="L211" s="770" t="s">
        <v>1060</v>
      </c>
      <c r="M211" s="20" t="s">
        <v>1060</v>
      </c>
      <c r="N211" s="20" t="s">
        <v>1061</v>
      </c>
    </row>
    <row r="212" spans="1:15" s="23" customFormat="1" ht="17.399999999999999">
      <c r="A212" s="767" t="s">
        <v>1062</v>
      </c>
      <c r="B212" s="767" t="s">
        <v>1063</v>
      </c>
      <c r="C212" s="768" t="s">
        <v>1064</v>
      </c>
      <c r="D212" s="767" t="s">
        <v>1065</v>
      </c>
      <c r="E212" s="768" t="s">
        <v>3139</v>
      </c>
      <c r="F212" s="768" t="s">
        <v>1066</v>
      </c>
      <c r="G212" s="768" t="s">
        <v>1067</v>
      </c>
      <c r="H212" s="767" t="s">
        <v>3532</v>
      </c>
      <c r="I212" s="767" t="s">
        <v>1068</v>
      </c>
      <c r="J212" s="767" t="s">
        <v>1069</v>
      </c>
      <c r="K212" s="767" t="s">
        <v>1070</v>
      </c>
      <c r="L212" s="769" t="s">
        <v>1071</v>
      </c>
      <c r="M212" s="767" t="s">
        <v>1072</v>
      </c>
      <c r="N212" s="767" t="s">
        <v>1073</v>
      </c>
    </row>
    <row r="213" spans="1:15" s="23" customFormat="1" ht="34.799999999999997">
      <c r="A213" s="20" t="s">
        <v>1074</v>
      </c>
      <c r="B213" s="20" t="s">
        <v>1075</v>
      </c>
      <c r="C213" s="768" t="s">
        <v>1076</v>
      </c>
      <c r="D213" s="20" t="s">
        <v>1077</v>
      </c>
      <c r="E213" s="768" t="s">
        <v>3140</v>
      </c>
      <c r="F213" s="768" t="s">
        <v>1078</v>
      </c>
      <c r="G213" s="768" t="s">
        <v>1079</v>
      </c>
      <c r="H213" s="20" t="s">
        <v>3533</v>
      </c>
      <c r="I213" s="20" t="s">
        <v>1080</v>
      </c>
      <c r="J213" s="20" t="s">
        <v>1081</v>
      </c>
      <c r="K213" s="20" t="s">
        <v>1082</v>
      </c>
      <c r="L213" s="770" t="s">
        <v>1083</v>
      </c>
      <c r="M213" s="20" t="s">
        <v>1084</v>
      </c>
      <c r="N213" s="20" t="s">
        <v>1085</v>
      </c>
    </row>
    <row r="214" spans="1:15" s="23" customFormat="1" ht="17.399999999999999">
      <c r="A214" s="20" t="s">
        <v>1086</v>
      </c>
      <c r="B214" s="20" t="s">
        <v>1087</v>
      </c>
      <c r="C214" s="768" t="s">
        <v>4241</v>
      </c>
      <c r="D214" s="20" t="s">
        <v>1088</v>
      </c>
      <c r="E214" s="768" t="s">
        <v>3141</v>
      </c>
      <c r="F214" s="768" t="s">
        <v>1089</v>
      </c>
      <c r="G214" s="768" t="s">
        <v>1090</v>
      </c>
      <c r="H214" s="20" t="s">
        <v>3141</v>
      </c>
      <c r="I214" s="20" t="s">
        <v>1091</v>
      </c>
      <c r="J214" s="20" t="s">
        <v>1092</v>
      </c>
      <c r="K214" s="783" t="s">
        <v>1093</v>
      </c>
      <c r="L214" s="770" t="s">
        <v>1094</v>
      </c>
      <c r="M214" s="20" t="s">
        <v>1095</v>
      </c>
      <c r="N214" s="20" t="s">
        <v>1096</v>
      </c>
    </row>
    <row r="215" spans="1:15" s="23" customFormat="1" ht="28.8">
      <c r="A215" s="768" t="s">
        <v>1898</v>
      </c>
      <c r="B215" s="768" t="s">
        <v>1899</v>
      </c>
      <c r="C215" s="768" t="s">
        <v>1900</v>
      </c>
      <c r="D215" s="768" t="s">
        <v>1901</v>
      </c>
      <c r="E215" s="768" t="s">
        <v>3208</v>
      </c>
      <c r="F215" s="768" t="s">
        <v>1902</v>
      </c>
      <c r="G215" s="768" t="s">
        <v>1903</v>
      </c>
      <c r="H215" s="768" t="s">
        <v>3379</v>
      </c>
      <c r="I215" s="768" t="s">
        <v>1904</v>
      </c>
      <c r="J215" s="768" t="s">
        <v>1905</v>
      </c>
      <c r="K215" s="768" t="s">
        <v>1906</v>
      </c>
      <c r="L215" s="784" t="s">
        <v>1907</v>
      </c>
      <c r="M215" s="768" t="s">
        <v>1908</v>
      </c>
      <c r="N215" s="768" t="s">
        <v>1909</v>
      </c>
    </row>
    <row r="216" spans="1:15" s="23" customFormat="1" ht="17.399999999999999">
      <c r="A216" s="20" t="s">
        <v>1097</v>
      </c>
      <c r="B216" s="20" t="s">
        <v>4340</v>
      </c>
      <c r="C216" s="768" t="s">
        <v>1098</v>
      </c>
      <c r="D216" s="20" t="s">
        <v>1099</v>
      </c>
      <c r="E216" s="768" t="s">
        <v>3142</v>
      </c>
      <c r="F216" s="768" t="s">
        <v>1100</v>
      </c>
      <c r="G216" s="768" t="s">
        <v>1101</v>
      </c>
      <c r="H216" s="20" t="s">
        <v>3534</v>
      </c>
      <c r="I216" s="20" t="s">
        <v>1102</v>
      </c>
      <c r="J216" s="20" t="s">
        <v>1103</v>
      </c>
      <c r="K216" s="20" t="s">
        <v>1104</v>
      </c>
      <c r="L216" s="770" t="s">
        <v>1105</v>
      </c>
      <c r="M216" s="20" t="s">
        <v>1105</v>
      </c>
      <c r="N216" s="20" t="s">
        <v>1106</v>
      </c>
    </row>
    <row r="217" spans="1:15" s="23" customFormat="1">
      <c r="A217" s="20" t="s">
        <v>3790</v>
      </c>
      <c r="B217" s="20" t="s">
        <v>3790</v>
      </c>
      <c r="C217" s="20" t="s">
        <v>3790</v>
      </c>
      <c r="D217" s="20" t="s">
        <v>3790</v>
      </c>
      <c r="E217" s="20" t="s">
        <v>3790</v>
      </c>
      <c r="F217" s="20" t="s">
        <v>3790</v>
      </c>
      <c r="G217" s="20" t="s">
        <v>3790</v>
      </c>
      <c r="H217" s="20" t="s">
        <v>3790</v>
      </c>
      <c r="I217" s="20" t="s">
        <v>3790</v>
      </c>
      <c r="J217" s="20" t="s">
        <v>3790</v>
      </c>
      <c r="K217" s="20" t="s">
        <v>3790</v>
      </c>
      <c r="L217" s="20" t="s">
        <v>3790</v>
      </c>
      <c r="M217" s="20" t="s">
        <v>3790</v>
      </c>
      <c r="N217" s="20" t="s">
        <v>3790</v>
      </c>
      <c r="O217" s="20"/>
    </row>
    <row r="218" spans="1:15" s="23" customFormat="1" ht="17.399999999999999">
      <c r="A218" s="768" t="s">
        <v>1107</v>
      </c>
      <c r="B218" s="768" t="s">
        <v>1108</v>
      </c>
      <c r="C218" s="768" t="s">
        <v>4305</v>
      </c>
      <c r="D218" s="768" t="s">
        <v>1109</v>
      </c>
      <c r="E218" s="768" t="s">
        <v>3143</v>
      </c>
      <c r="F218" s="768" t="s">
        <v>1110</v>
      </c>
      <c r="G218" s="768" t="s">
        <v>1111</v>
      </c>
      <c r="H218" s="768" t="s">
        <v>3535</v>
      </c>
      <c r="I218" s="768" t="s">
        <v>1112</v>
      </c>
      <c r="J218" s="768" t="s">
        <v>1113</v>
      </c>
      <c r="K218" s="768" t="s">
        <v>1114</v>
      </c>
      <c r="L218" s="784" t="s">
        <v>1115</v>
      </c>
      <c r="M218" s="768" t="s">
        <v>1116</v>
      </c>
      <c r="N218" s="768" t="s">
        <v>1117</v>
      </c>
    </row>
    <row r="219" spans="1:15" s="23" customFormat="1" ht="34.799999999999997">
      <c r="A219" s="768" t="s">
        <v>1830</v>
      </c>
      <c r="B219" s="768" t="s">
        <v>1831</v>
      </c>
      <c r="C219" s="768" t="s">
        <v>1832</v>
      </c>
      <c r="D219" s="768" t="s">
        <v>3700</v>
      </c>
      <c r="E219" s="768" t="s">
        <v>3202</v>
      </c>
      <c r="F219" s="768" t="s">
        <v>1833</v>
      </c>
      <c r="G219" s="768" t="s">
        <v>1834</v>
      </c>
      <c r="H219" s="768" t="s">
        <v>3536</v>
      </c>
      <c r="I219" s="768" t="s">
        <v>1835</v>
      </c>
      <c r="J219" s="768" t="s">
        <v>1836</v>
      </c>
      <c r="K219" s="768" t="s">
        <v>1837</v>
      </c>
      <c r="L219" s="784" t="s">
        <v>1838</v>
      </c>
      <c r="M219" s="768" t="s">
        <v>1839</v>
      </c>
      <c r="N219" s="768" t="s">
        <v>1840</v>
      </c>
    </row>
    <row r="220" spans="1:15" s="23" customFormat="1" ht="17.399999999999999">
      <c r="A220" s="768" t="s">
        <v>1118</v>
      </c>
      <c r="B220" s="768" t="s">
        <v>1119</v>
      </c>
      <c r="C220" s="768" t="s">
        <v>1120</v>
      </c>
      <c r="D220" s="768" t="s">
        <v>1121</v>
      </c>
      <c r="E220" s="768" t="s">
        <v>3144</v>
      </c>
      <c r="F220" s="768" t="s">
        <v>1122</v>
      </c>
      <c r="G220" s="768" t="s">
        <v>1123</v>
      </c>
      <c r="H220" s="768" t="s">
        <v>3537</v>
      </c>
      <c r="I220" s="768" t="s">
        <v>1124</v>
      </c>
      <c r="J220" s="768" t="s">
        <v>1125</v>
      </c>
      <c r="K220" s="768" t="s">
        <v>1126</v>
      </c>
      <c r="L220" s="784" t="s">
        <v>1127</v>
      </c>
      <c r="M220" s="768" t="s">
        <v>1128</v>
      </c>
      <c r="N220" s="768" t="s">
        <v>1129</v>
      </c>
    </row>
    <row r="221" spans="1:15" s="23" customFormat="1" ht="17.399999999999999">
      <c r="A221" s="768" t="s">
        <v>3762</v>
      </c>
      <c r="B221" s="768" t="s">
        <v>1808</v>
      </c>
      <c r="C221" s="768" t="s">
        <v>1809</v>
      </c>
      <c r="D221" s="768" t="s">
        <v>1810</v>
      </c>
      <c r="E221" s="768" t="s">
        <v>3200</v>
      </c>
      <c r="F221" s="768" t="s">
        <v>1811</v>
      </c>
      <c r="G221" s="768" t="s">
        <v>1812</v>
      </c>
      <c r="H221" s="768" t="s">
        <v>3538</v>
      </c>
      <c r="I221" s="768" t="s">
        <v>1813</v>
      </c>
      <c r="J221" s="768" t="s">
        <v>1814</v>
      </c>
      <c r="K221" s="768" t="s">
        <v>1815</v>
      </c>
      <c r="L221" s="784" t="s">
        <v>1816</v>
      </c>
      <c r="M221" s="768" t="s">
        <v>1817</v>
      </c>
      <c r="N221" s="768" t="s">
        <v>1818</v>
      </c>
    </row>
    <row r="222" spans="1:15" s="23" customFormat="1">
      <c r="A222" s="20" t="s">
        <v>3768</v>
      </c>
      <c r="B222" s="20" t="s">
        <v>1808</v>
      </c>
      <c r="C222" s="20" t="s">
        <v>4306</v>
      </c>
      <c r="D222" s="20" t="s">
        <v>3768</v>
      </c>
      <c r="E222" s="20" t="s">
        <v>3768</v>
      </c>
      <c r="F222" s="20" t="s">
        <v>3768</v>
      </c>
      <c r="G222" s="20" t="s">
        <v>3822</v>
      </c>
      <c r="H222" s="20" t="s">
        <v>3768</v>
      </c>
      <c r="I222" s="20" t="s">
        <v>3768</v>
      </c>
      <c r="J222" s="20" t="s">
        <v>3768</v>
      </c>
      <c r="K222" s="20" t="s">
        <v>3768</v>
      </c>
      <c r="L222" s="20" t="s">
        <v>4360</v>
      </c>
      <c r="M222" s="20" t="s">
        <v>3768</v>
      </c>
      <c r="N222" s="20" t="s">
        <v>3768</v>
      </c>
    </row>
    <row r="223" spans="1:15" s="23" customFormat="1" ht="57.6">
      <c r="A223" s="768" t="s">
        <v>1942</v>
      </c>
      <c r="B223" s="768" t="s">
        <v>1943</v>
      </c>
      <c r="C223" s="768" t="s">
        <v>1944</v>
      </c>
      <c r="D223" s="768" t="s">
        <v>1945</v>
      </c>
      <c r="E223" s="768" t="s">
        <v>3212</v>
      </c>
      <c r="F223" s="768" t="s">
        <v>1946</v>
      </c>
      <c r="G223" s="768" t="s">
        <v>1947</v>
      </c>
      <c r="H223" s="768" t="s">
        <v>3539</v>
      </c>
      <c r="I223" s="768" t="s">
        <v>1948</v>
      </c>
      <c r="J223" s="768" t="s">
        <v>1949</v>
      </c>
      <c r="K223" s="768" t="s">
        <v>1950</v>
      </c>
      <c r="L223" s="784" t="s">
        <v>1951</v>
      </c>
      <c r="M223" s="768" t="s">
        <v>1952</v>
      </c>
      <c r="N223" s="768" t="s">
        <v>1953</v>
      </c>
    </row>
    <row r="224" spans="1:15" s="23" customFormat="1" ht="17.399999999999999">
      <c r="A224" s="768" t="s">
        <v>1988</v>
      </c>
      <c r="B224" s="768" t="s">
        <v>1989</v>
      </c>
      <c r="C224" s="768" t="s">
        <v>1990</v>
      </c>
      <c r="D224" s="768" t="s">
        <v>1991</v>
      </c>
      <c r="E224" s="768" t="s">
        <v>3216</v>
      </c>
      <c r="F224" s="768" t="s">
        <v>1992</v>
      </c>
      <c r="G224" s="768" t="s">
        <v>1993</v>
      </c>
      <c r="H224" s="768" t="s">
        <v>3540</v>
      </c>
      <c r="I224" s="768" t="s">
        <v>1994</v>
      </c>
      <c r="J224" s="768" t="s">
        <v>1995</v>
      </c>
      <c r="K224" s="768" t="s">
        <v>1996</v>
      </c>
      <c r="L224" s="784" t="s">
        <v>1997</v>
      </c>
      <c r="M224" s="768" t="s">
        <v>1998</v>
      </c>
      <c r="N224" s="768" t="s">
        <v>1999</v>
      </c>
    </row>
    <row r="225" spans="1:14" s="23" customFormat="1" ht="52.2">
      <c r="A225" s="768" t="s">
        <v>1931</v>
      </c>
      <c r="B225" s="768" t="s">
        <v>1932</v>
      </c>
      <c r="C225" s="768" t="s">
        <v>1933</v>
      </c>
      <c r="D225" s="768" t="s">
        <v>3701</v>
      </c>
      <c r="E225" s="768" t="s">
        <v>3211</v>
      </c>
      <c r="F225" s="768" t="s">
        <v>1934</v>
      </c>
      <c r="G225" s="768" t="s">
        <v>1935</v>
      </c>
      <c r="H225" s="768" t="s">
        <v>3541</v>
      </c>
      <c r="I225" s="768" t="s">
        <v>1936</v>
      </c>
      <c r="J225" s="768" t="s">
        <v>1937</v>
      </c>
      <c r="K225" s="768" t="s">
        <v>1938</v>
      </c>
      <c r="L225" s="784" t="s">
        <v>1939</v>
      </c>
      <c r="M225" s="768" t="s">
        <v>1940</v>
      </c>
      <c r="N225" s="768" t="s">
        <v>1941</v>
      </c>
    </row>
    <row r="226" spans="1:14" s="23" customFormat="1">
      <c r="A226" s="20" t="s">
        <v>1130</v>
      </c>
      <c r="B226" s="20" t="s">
        <v>1130</v>
      </c>
      <c r="C226" s="20" t="s">
        <v>4147</v>
      </c>
      <c r="D226" s="20" t="s">
        <v>1130</v>
      </c>
      <c r="E226" s="20" t="s">
        <v>1130</v>
      </c>
      <c r="F226" s="20" t="s">
        <v>1130</v>
      </c>
      <c r="G226" s="20" t="s">
        <v>1130</v>
      </c>
      <c r="H226" s="20" t="s">
        <v>1130</v>
      </c>
      <c r="I226" s="20" t="s">
        <v>1130</v>
      </c>
      <c r="J226" s="20" t="s">
        <v>1130</v>
      </c>
      <c r="K226" s="20" t="s">
        <v>1130</v>
      </c>
      <c r="L226" s="20" t="s">
        <v>1130</v>
      </c>
      <c r="M226" s="20" t="s">
        <v>1130</v>
      </c>
      <c r="N226" s="20" t="s">
        <v>1130</v>
      </c>
    </row>
    <row r="227" spans="1:14" s="23" customFormat="1" ht="17.399999999999999">
      <c r="A227" s="768" t="s">
        <v>1131</v>
      </c>
      <c r="B227" s="768" t="s">
        <v>1132</v>
      </c>
      <c r="C227" s="768" t="s">
        <v>1133</v>
      </c>
      <c r="D227" s="768" t="s">
        <v>1134</v>
      </c>
      <c r="E227" s="768" t="s">
        <v>3145</v>
      </c>
      <c r="F227" s="768" t="s">
        <v>1135</v>
      </c>
      <c r="G227" s="768" t="s">
        <v>1136</v>
      </c>
      <c r="H227" s="768" t="s">
        <v>3542</v>
      </c>
      <c r="I227" s="768" t="s">
        <v>1137</v>
      </c>
      <c r="J227" s="768" t="s">
        <v>1138</v>
      </c>
      <c r="K227" s="768" t="s">
        <v>1139</v>
      </c>
      <c r="L227" s="784" t="s">
        <v>1140</v>
      </c>
      <c r="M227" s="768" t="s">
        <v>1141</v>
      </c>
      <c r="N227" s="768" t="s">
        <v>1142</v>
      </c>
    </row>
    <row r="228" spans="1:14" s="23" customFormat="1" ht="17.399999999999999">
      <c r="A228" s="20" t="s">
        <v>1143</v>
      </c>
      <c r="B228" s="20" t="s">
        <v>1144</v>
      </c>
      <c r="C228" s="768" t="s">
        <v>1145</v>
      </c>
      <c r="D228" s="20" t="s">
        <v>1146</v>
      </c>
      <c r="E228" s="768" t="s">
        <v>3146</v>
      </c>
      <c r="F228" s="768" t="s">
        <v>1147</v>
      </c>
      <c r="G228" s="768" t="s">
        <v>1148</v>
      </c>
      <c r="H228" s="20" t="s">
        <v>3543</v>
      </c>
      <c r="I228" s="20" t="s">
        <v>1149</v>
      </c>
      <c r="J228" s="20" t="s">
        <v>1150</v>
      </c>
      <c r="K228" s="20" t="s">
        <v>1151</v>
      </c>
      <c r="L228" s="770" t="s">
        <v>1152</v>
      </c>
      <c r="M228" s="20" t="s">
        <v>1153</v>
      </c>
      <c r="N228" s="20" t="s">
        <v>1154</v>
      </c>
    </row>
    <row r="229" spans="1:14" s="23" customFormat="1" ht="17.399999999999999">
      <c r="A229" s="768" t="s">
        <v>1155</v>
      </c>
      <c r="B229" s="768" t="s">
        <v>1156</v>
      </c>
      <c r="C229" s="768" t="s">
        <v>1157</v>
      </c>
      <c r="D229" s="768" t="s">
        <v>1158</v>
      </c>
      <c r="E229" s="768" t="s">
        <v>3147</v>
      </c>
      <c r="F229" s="768" t="s">
        <v>1159</v>
      </c>
      <c r="G229" s="768" t="s">
        <v>1160</v>
      </c>
      <c r="H229" s="768" t="s">
        <v>3544</v>
      </c>
      <c r="I229" s="768" t="s">
        <v>1161</v>
      </c>
      <c r="J229" s="768" t="s">
        <v>1162</v>
      </c>
      <c r="K229" s="768" t="s">
        <v>1163</v>
      </c>
      <c r="L229" s="784" t="s">
        <v>1164</v>
      </c>
      <c r="M229" s="768" t="s">
        <v>1165</v>
      </c>
      <c r="N229" s="768" t="s">
        <v>1166</v>
      </c>
    </row>
    <row r="230" spans="1:14" s="23" customFormat="1" ht="17.399999999999999">
      <c r="A230" s="785" t="s">
        <v>1178</v>
      </c>
      <c r="B230" s="785" t="s">
        <v>1179</v>
      </c>
      <c r="C230" s="768" t="s">
        <v>4242</v>
      </c>
      <c r="D230" s="785" t="s">
        <v>1180</v>
      </c>
      <c r="E230" s="768" t="s">
        <v>1181</v>
      </c>
      <c r="F230" s="768" t="s">
        <v>1181</v>
      </c>
      <c r="G230" s="768" t="s">
        <v>1182</v>
      </c>
      <c r="H230" s="785" t="s">
        <v>3545</v>
      </c>
      <c r="I230" s="785" t="s">
        <v>1183</v>
      </c>
      <c r="J230" s="785" t="s">
        <v>1184</v>
      </c>
      <c r="K230" s="785" t="s">
        <v>1178</v>
      </c>
      <c r="L230" s="786" t="s">
        <v>1185</v>
      </c>
      <c r="M230" s="785" t="s">
        <v>1178</v>
      </c>
      <c r="N230" s="785" t="s">
        <v>1185</v>
      </c>
    </row>
    <row r="231" spans="1:14" s="23" customFormat="1" ht="17.399999999999999">
      <c r="A231" s="20" t="s">
        <v>1186</v>
      </c>
      <c r="B231" s="20" t="s">
        <v>1187</v>
      </c>
      <c r="C231" s="768" t="s">
        <v>1188</v>
      </c>
      <c r="D231" s="20" t="s">
        <v>1189</v>
      </c>
      <c r="E231" s="768" t="s">
        <v>3149</v>
      </c>
      <c r="F231" s="768" t="s">
        <v>1190</v>
      </c>
      <c r="G231" s="768" t="s">
        <v>1191</v>
      </c>
      <c r="H231" s="20" t="s">
        <v>3546</v>
      </c>
      <c r="I231" s="20" t="s">
        <v>1192</v>
      </c>
      <c r="J231" s="20" t="s">
        <v>1193</v>
      </c>
      <c r="K231" s="20" t="s">
        <v>1194</v>
      </c>
      <c r="L231" s="770" t="s">
        <v>1195</v>
      </c>
      <c r="M231" s="20" t="s">
        <v>1196</v>
      </c>
      <c r="N231" s="20" t="s">
        <v>1197</v>
      </c>
    </row>
    <row r="232" spans="1:14" s="23" customFormat="1" ht="17.399999999999999">
      <c r="A232" s="20" t="s">
        <v>1198</v>
      </c>
      <c r="B232" s="20" t="s">
        <v>1199</v>
      </c>
      <c r="C232" s="768" t="s">
        <v>4243</v>
      </c>
      <c r="D232" s="20" t="s">
        <v>1200</v>
      </c>
      <c r="E232" s="768" t="s">
        <v>3150</v>
      </c>
      <c r="F232" s="768" t="s">
        <v>1201</v>
      </c>
      <c r="G232" s="768" t="s">
        <v>1202</v>
      </c>
      <c r="H232" s="20" t="s">
        <v>3547</v>
      </c>
      <c r="I232" s="20" t="s">
        <v>1198</v>
      </c>
      <c r="J232" s="20" t="s">
        <v>1203</v>
      </c>
      <c r="K232" s="20" t="s">
        <v>1204</v>
      </c>
      <c r="L232" s="770" t="s">
        <v>1205</v>
      </c>
      <c r="M232" s="20" t="s">
        <v>1206</v>
      </c>
      <c r="N232" s="20" t="s">
        <v>1207</v>
      </c>
    </row>
    <row r="233" spans="1:14" s="23" customFormat="1" ht="17.399999999999999">
      <c r="A233" s="20" t="s">
        <v>1208</v>
      </c>
      <c r="B233" s="20" t="s">
        <v>1209</v>
      </c>
      <c r="C233" s="768" t="s">
        <v>4244</v>
      </c>
      <c r="D233" s="20" t="s">
        <v>1210</v>
      </c>
      <c r="E233" s="768" t="s">
        <v>3151</v>
      </c>
      <c r="F233" s="768" t="s">
        <v>1211</v>
      </c>
      <c r="G233" s="768" t="s">
        <v>1212</v>
      </c>
      <c r="H233" s="20" t="s">
        <v>3151</v>
      </c>
      <c r="I233" s="20" t="s">
        <v>1213</v>
      </c>
      <c r="J233" s="20" t="s">
        <v>1214</v>
      </c>
      <c r="K233" s="20" t="s">
        <v>1208</v>
      </c>
      <c r="L233" s="770" t="s">
        <v>1215</v>
      </c>
      <c r="M233" s="20" t="s">
        <v>1208</v>
      </c>
      <c r="N233" s="20" t="s">
        <v>1216</v>
      </c>
    </row>
    <row r="234" spans="1:14" s="23" customFormat="1" ht="17.399999999999999">
      <c r="A234" s="20" t="s">
        <v>1217</v>
      </c>
      <c r="B234" s="20" t="s">
        <v>1218</v>
      </c>
      <c r="C234" s="768" t="s">
        <v>1219</v>
      </c>
      <c r="D234" s="20" t="s">
        <v>1220</v>
      </c>
      <c r="E234" s="768" t="s">
        <v>3152</v>
      </c>
      <c r="F234" s="768" t="s">
        <v>1221</v>
      </c>
      <c r="G234" s="768" t="s">
        <v>1222</v>
      </c>
      <c r="H234" s="20" t="s">
        <v>3548</v>
      </c>
      <c r="I234" s="20" t="s">
        <v>1223</v>
      </c>
      <c r="J234" s="20" t="s">
        <v>1224</v>
      </c>
      <c r="K234" s="20" t="s">
        <v>1225</v>
      </c>
      <c r="L234" s="770" t="s">
        <v>1226</v>
      </c>
      <c r="M234" s="20" t="s">
        <v>1227</v>
      </c>
      <c r="N234" s="20" t="s">
        <v>1228</v>
      </c>
    </row>
    <row r="235" spans="1:14" s="23" customFormat="1" ht="17.399999999999999">
      <c r="A235" s="20" t="s">
        <v>3351</v>
      </c>
      <c r="B235" s="20" t="s">
        <v>1229</v>
      </c>
      <c r="C235" s="768" t="s">
        <v>1230</v>
      </c>
      <c r="D235" s="20" t="s">
        <v>1231</v>
      </c>
      <c r="E235" s="768" t="s">
        <v>3153</v>
      </c>
      <c r="F235" s="768" t="s">
        <v>1232</v>
      </c>
      <c r="G235" s="768" t="s">
        <v>1233</v>
      </c>
      <c r="H235" s="20" t="s">
        <v>3549</v>
      </c>
      <c r="I235" s="20" t="s">
        <v>1234</v>
      </c>
      <c r="J235" s="20" t="s">
        <v>1235</v>
      </c>
      <c r="K235" s="20" t="s">
        <v>1236</v>
      </c>
      <c r="L235" s="770" t="s">
        <v>1237</v>
      </c>
      <c r="M235" s="20" t="s">
        <v>1238</v>
      </c>
      <c r="N235" s="20" t="s">
        <v>1239</v>
      </c>
    </row>
    <row r="236" spans="1:14" s="23" customFormat="1" ht="17.399999999999999">
      <c r="A236" s="20" t="s">
        <v>1240</v>
      </c>
      <c r="B236" s="20" t="s">
        <v>1241</v>
      </c>
      <c r="C236" s="768" t="s">
        <v>1242</v>
      </c>
      <c r="D236" s="20" t="s">
        <v>1243</v>
      </c>
      <c r="E236" s="768" t="s">
        <v>3154</v>
      </c>
      <c r="F236" s="768" t="s">
        <v>1244</v>
      </c>
      <c r="G236" s="768" t="s">
        <v>1245</v>
      </c>
      <c r="H236" s="20" t="s">
        <v>3550</v>
      </c>
      <c r="I236" s="20" t="s">
        <v>1246</v>
      </c>
      <c r="J236" s="20" t="s">
        <v>1247</v>
      </c>
      <c r="K236" s="20" t="s">
        <v>1248</v>
      </c>
      <c r="L236" s="770" t="s">
        <v>1249</v>
      </c>
      <c r="M236" s="20" t="s">
        <v>1250</v>
      </c>
      <c r="N236" s="20" t="s">
        <v>1251</v>
      </c>
    </row>
    <row r="237" spans="1:14" s="23" customFormat="1" ht="17.399999999999999">
      <c r="A237" s="20" t="s">
        <v>3352</v>
      </c>
      <c r="B237" s="20" t="s">
        <v>1252</v>
      </c>
      <c r="C237" s="768" t="s">
        <v>1253</v>
      </c>
      <c r="D237" s="20" t="s">
        <v>1254</v>
      </c>
      <c r="E237" s="768" t="s">
        <v>3155</v>
      </c>
      <c r="F237" s="768" t="s">
        <v>1255</v>
      </c>
      <c r="G237" s="768" t="s">
        <v>1256</v>
      </c>
      <c r="H237" s="20" t="s">
        <v>3551</v>
      </c>
      <c r="I237" s="20" t="s">
        <v>1257</v>
      </c>
      <c r="J237" s="20" t="s">
        <v>1258</v>
      </c>
      <c r="K237" s="20" t="s">
        <v>1259</v>
      </c>
      <c r="L237" s="770" t="s">
        <v>1260</v>
      </c>
      <c r="M237" s="20" t="s">
        <v>1261</v>
      </c>
      <c r="N237" s="20" t="s">
        <v>1262</v>
      </c>
    </row>
    <row r="238" spans="1:14" s="23" customFormat="1" ht="17.399999999999999">
      <c r="A238" s="20" t="s">
        <v>1263</v>
      </c>
      <c r="B238" s="20" t="s">
        <v>1264</v>
      </c>
      <c r="C238" s="768" t="s">
        <v>1265</v>
      </c>
      <c r="D238" s="20" t="s">
        <v>1266</v>
      </c>
      <c r="E238" s="768" t="s">
        <v>3156</v>
      </c>
      <c r="F238" s="768" t="s">
        <v>1267</v>
      </c>
      <c r="G238" s="768" t="s">
        <v>1268</v>
      </c>
      <c r="H238" s="20" t="s">
        <v>3552</v>
      </c>
      <c r="I238" s="20" t="s">
        <v>1269</v>
      </c>
      <c r="J238" s="20" t="s">
        <v>1270</v>
      </c>
      <c r="K238" s="20" t="s">
        <v>1271</v>
      </c>
      <c r="L238" s="770" t="s">
        <v>1272</v>
      </c>
      <c r="M238" s="20" t="s">
        <v>1273</v>
      </c>
      <c r="N238" s="20" t="s">
        <v>1274</v>
      </c>
    </row>
    <row r="239" spans="1:14" s="23" customFormat="1" ht="17.399999999999999">
      <c r="A239" s="20" t="s">
        <v>3353</v>
      </c>
      <c r="B239" s="20" t="s">
        <v>1275</v>
      </c>
      <c r="C239" s="768" t="s">
        <v>1276</v>
      </c>
      <c r="D239" s="20" t="s">
        <v>1277</v>
      </c>
      <c r="E239" s="768" t="s">
        <v>3157</v>
      </c>
      <c r="F239" s="768" t="s">
        <v>1278</v>
      </c>
      <c r="G239" s="768" t="s">
        <v>1279</v>
      </c>
      <c r="H239" s="20" t="s">
        <v>3553</v>
      </c>
      <c r="I239" s="20" t="s">
        <v>1280</v>
      </c>
      <c r="J239" s="20" t="s">
        <v>1281</v>
      </c>
      <c r="K239" s="20" t="s">
        <v>1282</v>
      </c>
      <c r="L239" s="770" t="s">
        <v>1283</v>
      </c>
      <c r="M239" s="20" t="s">
        <v>1284</v>
      </c>
      <c r="N239" s="20" t="s">
        <v>1285</v>
      </c>
    </row>
    <row r="240" spans="1:14" s="23" customFormat="1" ht="17.399999999999999">
      <c r="A240" s="20" t="s">
        <v>1286</v>
      </c>
      <c r="B240" s="20" t="s">
        <v>1287</v>
      </c>
      <c r="C240" s="768" t="s">
        <v>1288</v>
      </c>
      <c r="D240" s="20" t="s">
        <v>1289</v>
      </c>
      <c r="E240" s="768" t="s">
        <v>3158</v>
      </c>
      <c r="F240" s="768" t="s">
        <v>1290</v>
      </c>
      <c r="G240" s="768" t="s">
        <v>1291</v>
      </c>
      <c r="H240" s="20" t="s">
        <v>3554</v>
      </c>
      <c r="I240" s="20" t="s">
        <v>1292</v>
      </c>
      <c r="J240" s="20" t="s">
        <v>1293</v>
      </c>
      <c r="K240" s="20" t="s">
        <v>1294</v>
      </c>
      <c r="L240" s="770" t="s">
        <v>1295</v>
      </c>
      <c r="M240" s="20" t="s">
        <v>1296</v>
      </c>
      <c r="N240" s="20" t="s">
        <v>1297</v>
      </c>
    </row>
    <row r="241" spans="1:15" s="23" customFormat="1" ht="17.399999999999999">
      <c r="A241" s="20" t="s">
        <v>1298</v>
      </c>
      <c r="B241" s="20" t="s">
        <v>1299</v>
      </c>
      <c r="C241" s="768" t="s">
        <v>1300</v>
      </c>
      <c r="D241" s="20" t="s">
        <v>1301</v>
      </c>
      <c r="E241" s="768" t="s">
        <v>3159</v>
      </c>
      <c r="F241" s="768" t="s">
        <v>1302</v>
      </c>
      <c r="G241" s="768" t="s">
        <v>1303</v>
      </c>
      <c r="H241" s="20" t="s">
        <v>3555</v>
      </c>
      <c r="I241" s="20" t="s">
        <v>1304</v>
      </c>
      <c r="J241" s="20" t="s">
        <v>1305</v>
      </c>
      <c r="K241" s="20" t="s">
        <v>1306</v>
      </c>
      <c r="L241" s="770" t="s">
        <v>1307</v>
      </c>
      <c r="M241" s="20" t="s">
        <v>1308</v>
      </c>
      <c r="N241" s="20" t="s">
        <v>1309</v>
      </c>
    </row>
    <row r="242" spans="1:15" s="23" customFormat="1" ht="17.399999999999999">
      <c r="A242" s="20" t="s">
        <v>3354</v>
      </c>
      <c r="B242" s="20" t="s">
        <v>1310</v>
      </c>
      <c r="C242" s="768" t="s">
        <v>1311</v>
      </c>
      <c r="D242" s="20" t="s">
        <v>1312</v>
      </c>
      <c r="E242" s="768" t="s">
        <v>3160</v>
      </c>
      <c r="F242" s="768" t="s">
        <v>1313</v>
      </c>
      <c r="G242" s="768" t="s">
        <v>1314</v>
      </c>
      <c r="H242" s="20" t="s">
        <v>3556</v>
      </c>
      <c r="I242" s="20" t="s">
        <v>1315</v>
      </c>
      <c r="J242" s="20" t="s">
        <v>1316</v>
      </c>
      <c r="K242" s="20" t="s">
        <v>1317</v>
      </c>
      <c r="L242" s="770" t="s">
        <v>1318</v>
      </c>
      <c r="M242" s="20" t="s">
        <v>1319</v>
      </c>
      <c r="N242" s="20" t="s">
        <v>1320</v>
      </c>
    </row>
    <row r="243" spans="1:15" s="23" customFormat="1" ht="17.399999999999999">
      <c r="A243" s="20" t="s">
        <v>3355</v>
      </c>
      <c r="B243" s="20" t="s">
        <v>1321</v>
      </c>
      <c r="C243" s="768" t="s">
        <v>1322</v>
      </c>
      <c r="D243" s="20" t="s">
        <v>1323</v>
      </c>
      <c r="E243" s="768" t="s">
        <v>3161</v>
      </c>
      <c r="F243" s="768" t="s">
        <v>1324</v>
      </c>
      <c r="G243" s="768" t="s">
        <v>1325</v>
      </c>
      <c r="H243" s="20" t="s">
        <v>3557</v>
      </c>
      <c r="I243" s="20" t="s">
        <v>1326</v>
      </c>
      <c r="J243" s="20" t="s">
        <v>1327</v>
      </c>
      <c r="K243" s="20" t="s">
        <v>1328</v>
      </c>
      <c r="L243" s="770" t="s">
        <v>1329</v>
      </c>
      <c r="M243" s="20" t="s">
        <v>1330</v>
      </c>
      <c r="N243" s="20" t="s">
        <v>1331</v>
      </c>
    </row>
    <row r="244" spans="1:15" s="23" customFormat="1" ht="17.399999999999999">
      <c r="A244" s="20" t="s">
        <v>1332</v>
      </c>
      <c r="B244" s="20" t="s">
        <v>1333</v>
      </c>
      <c r="C244" s="768" t="s">
        <v>1334</v>
      </c>
      <c r="D244" s="20" t="s">
        <v>1335</v>
      </c>
      <c r="E244" s="768" t="s">
        <v>3162</v>
      </c>
      <c r="F244" s="768" t="s">
        <v>1336</v>
      </c>
      <c r="G244" s="768" t="s">
        <v>1337</v>
      </c>
      <c r="H244" s="20" t="s">
        <v>3558</v>
      </c>
      <c r="I244" s="20" t="s">
        <v>1338</v>
      </c>
      <c r="J244" s="20" t="s">
        <v>1339</v>
      </c>
      <c r="K244" s="20" t="s">
        <v>1340</v>
      </c>
      <c r="L244" s="770" t="s">
        <v>1341</v>
      </c>
      <c r="M244" s="20" t="s">
        <v>1342</v>
      </c>
      <c r="N244" s="20" t="s">
        <v>1343</v>
      </c>
    </row>
    <row r="245" spans="1:15" s="23" customFormat="1" ht="17.399999999999999">
      <c r="A245" s="20" t="s">
        <v>3356</v>
      </c>
      <c r="B245" s="20" t="s">
        <v>1344</v>
      </c>
      <c r="C245" s="768" t="s">
        <v>1345</v>
      </c>
      <c r="D245" s="20" t="s">
        <v>1346</v>
      </c>
      <c r="E245" s="768" t="s">
        <v>3163</v>
      </c>
      <c r="F245" s="768" t="s">
        <v>1347</v>
      </c>
      <c r="G245" s="768" t="s">
        <v>1348</v>
      </c>
      <c r="H245" s="20" t="s">
        <v>3559</v>
      </c>
      <c r="I245" s="20" t="s">
        <v>1349</v>
      </c>
      <c r="J245" s="20" t="s">
        <v>1350</v>
      </c>
      <c r="K245" s="20" t="s">
        <v>1351</v>
      </c>
      <c r="L245" s="770" t="s">
        <v>1352</v>
      </c>
      <c r="M245" s="20" t="s">
        <v>1353</v>
      </c>
      <c r="N245" s="20" t="s">
        <v>1354</v>
      </c>
    </row>
    <row r="246" spans="1:15" s="23" customFormat="1" ht="17.399999999999999">
      <c r="A246" s="20" t="s">
        <v>1355</v>
      </c>
      <c r="B246" s="20" t="s">
        <v>1356</v>
      </c>
      <c r="C246" s="768" t="s">
        <v>1357</v>
      </c>
      <c r="D246" s="20" t="s">
        <v>1358</v>
      </c>
      <c r="E246" s="768" t="s">
        <v>3164</v>
      </c>
      <c r="F246" s="768" t="s">
        <v>1359</v>
      </c>
      <c r="G246" s="768" t="s">
        <v>1360</v>
      </c>
      <c r="H246" s="20" t="s">
        <v>3560</v>
      </c>
      <c r="I246" s="20" t="s">
        <v>1361</v>
      </c>
      <c r="J246" s="20" t="s">
        <v>1362</v>
      </c>
      <c r="K246" s="20" t="s">
        <v>1363</v>
      </c>
      <c r="L246" s="770" t="s">
        <v>1364</v>
      </c>
      <c r="M246" s="20" t="s">
        <v>1365</v>
      </c>
      <c r="N246" s="20" t="s">
        <v>1366</v>
      </c>
    </row>
    <row r="247" spans="1:15" s="23" customFormat="1" ht="17.399999999999999">
      <c r="A247" s="20" t="s">
        <v>3357</v>
      </c>
      <c r="B247" s="20" t="s">
        <v>1367</v>
      </c>
      <c r="C247" s="768" t="s">
        <v>1368</v>
      </c>
      <c r="D247" s="20" t="s">
        <v>1369</v>
      </c>
      <c r="E247" s="768" t="s">
        <v>3165</v>
      </c>
      <c r="F247" s="768" t="s">
        <v>1370</v>
      </c>
      <c r="G247" s="768" t="s">
        <v>1371</v>
      </c>
      <c r="H247" s="20" t="s">
        <v>3561</v>
      </c>
      <c r="I247" s="20" t="s">
        <v>1372</v>
      </c>
      <c r="J247" s="20" t="s">
        <v>1373</v>
      </c>
      <c r="K247" s="20" t="s">
        <v>1374</v>
      </c>
      <c r="L247" s="770" t="s">
        <v>1375</v>
      </c>
      <c r="M247" s="20" t="s">
        <v>1376</v>
      </c>
      <c r="N247" s="20" t="s">
        <v>1377</v>
      </c>
    </row>
    <row r="248" spans="1:15" s="23" customFormat="1" ht="17.399999999999999">
      <c r="A248" s="20" t="s">
        <v>1378</v>
      </c>
      <c r="B248" s="20" t="s">
        <v>1379</v>
      </c>
      <c r="C248" s="768" t="s">
        <v>4245</v>
      </c>
      <c r="D248" s="20" t="s">
        <v>1380</v>
      </c>
      <c r="E248" s="768" t="s">
        <v>3166</v>
      </c>
      <c r="F248" s="768" t="s">
        <v>1381</v>
      </c>
      <c r="G248" s="768" t="s">
        <v>1382</v>
      </c>
      <c r="H248" s="20" t="s">
        <v>3166</v>
      </c>
      <c r="I248" s="20" t="s">
        <v>1383</v>
      </c>
      <c r="J248" s="20" t="s">
        <v>1384</v>
      </c>
      <c r="K248" s="20" t="s">
        <v>1378</v>
      </c>
      <c r="L248" s="770" t="s">
        <v>1385</v>
      </c>
      <c r="M248" s="20" t="s">
        <v>1378</v>
      </c>
      <c r="N248" s="20" t="s">
        <v>1386</v>
      </c>
    </row>
    <row r="249" spans="1:15" s="23" customFormat="1" ht="17.399999999999999">
      <c r="A249" s="20" t="s">
        <v>1387</v>
      </c>
      <c r="B249" s="20" t="s">
        <v>1388</v>
      </c>
      <c r="C249" s="768" t="s">
        <v>4246</v>
      </c>
      <c r="D249" s="20" t="s">
        <v>1389</v>
      </c>
      <c r="E249" s="768" t="s">
        <v>3167</v>
      </c>
      <c r="F249" s="768" t="s">
        <v>1390</v>
      </c>
      <c r="G249" s="768" t="s">
        <v>1391</v>
      </c>
      <c r="H249" s="20" t="s">
        <v>3562</v>
      </c>
      <c r="I249" s="20" t="s">
        <v>1392</v>
      </c>
      <c r="J249" s="20" t="s">
        <v>1393</v>
      </c>
      <c r="K249" s="20" t="s">
        <v>1394</v>
      </c>
      <c r="L249" s="770" t="s">
        <v>1395</v>
      </c>
      <c r="M249" s="20" t="s">
        <v>1394</v>
      </c>
      <c r="N249" s="20" t="s">
        <v>1396</v>
      </c>
    </row>
    <row r="250" spans="1:15" s="23" customFormat="1" ht="17.399999999999999">
      <c r="A250" s="20" t="s">
        <v>1397</v>
      </c>
      <c r="B250" s="20" t="s">
        <v>1398</v>
      </c>
      <c r="C250" s="768" t="s">
        <v>4247</v>
      </c>
      <c r="D250" s="20" t="s">
        <v>1399</v>
      </c>
      <c r="E250" s="768" t="s">
        <v>3168</v>
      </c>
      <c r="F250" s="768" t="s">
        <v>1400</v>
      </c>
      <c r="G250" s="768" t="s">
        <v>1401</v>
      </c>
      <c r="H250" s="20" t="s">
        <v>3563</v>
      </c>
      <c r="I250" s="20" t="s">
        <v>1402</v>
      </c>
      <c r="J250" s="20" t="s">
        <v>1403</v>
      </c>
      <c r="K250" s="20" t="s">
        <v>1397</v>
      </c>
      <c r="L250" s="770" t="s">
        <v>1404</v>
      </c>
      <c r="M250" s="20" t="s">
        <v>1397</v>
      </c>
      <c r="N250" s="20" t="s">
        <v>1405</v>
      </c>
    </row>
    <row r="251" spans="1:15" s="23" customFormat="1" ht="17.399999999999999">
      <c r="A251" s="20" t="s">
        <v>1416</v>
      </c>
      <c r="B251" s="20" t="s">
        <v>1416</v>
      </c>
      <c r="C251" s="768" t="s">
        <v>1417</v>
      </c>
      <c r="D251" s="20" t="s">
        <v>1418</v>
      </c>
      <c r="E251" s="768" t="s">
        <v>3366</v>
      </c>
      <c r="F251" s="768" t="s">
        <v>1419</v>
      </c>
      <c r="G251" s="768" t="s">
        <v>1420</v>
      </c>
      <c r="H251" s="20" t="s">
        <v>3366</v>
      </c>
      <c r="I251" s="20" t="s">
        <v>1416</v>
      </c>
      <c r="J251" s="20" t="s">
        <v>1421</v>
      </c>
      <c r="K251" s="783" t="s">
        <v>1422</v>
      </c>
      <c r="L251" s="770" t="s">
        <v>1416</v>
      </c>
      <c r="M251" s="20" t="s">
        <v>1416</v>
      </c>
      <c r="N251" s="20" t="s">
        <v>1423</v>
      </c>
    </row>
    <row r="252" spans="1:15" s="23" customFormat="1" ht="17.399999999999999">
      <c r="A252" s="20" t="s">
        <v>1424</v>
      </c>
      <c r="B252" s="20" t="s">
        <v>1425</v>
      </c>
      <c r="C252" s="768" t="s">
        <v>1426</v>
      </c>
      <c r="D252" s="20" t="s">
        <v>1427</v>
      </c>
      <c r="E252" s="768" t="s">
        <v>3169</v>
      </c>
      <c r="F252" s="768" t="s">
        <v>1428</v>
      </c>
      <c r="G252" s="768" t="s">
        <v>1429</v>
      </c>
      <c r="H252" s="20" t="s">
        <v>3565</v>
      </c>
      <c r="I252" s="20" t="s">
        <v>1430</v>
      </c>
      <c r="J252" s="20" t="s">
        <v>1431</v>
      </c>
      <c r="K252" s="20" t="s">
        <v>1432</v>
      </c>
      <c r="L252" s="770" t="s">
        <v>1433</v>
      </c>
      <c r="M252" s="20" t="s">
        <v>1434</v>
      </c>
      <c r="N252" s="20" t="s">
        <v>1435</v>
      </c>
    </row>
    <row r="253" spans="1:15" s="23" customFormat="1" ht="17.399999999999999">
      <c r="A253" s="767" t="s">
        <v>1436</v>
      </c>
      <c r="B253" s="767" t="s">
        <v>1437</v>
      </c>
      <c r="C253" s="768" t="s">
        <v>1438</v>
      </c>
      <c r="D253" s="767" t="s">
        <v>1439</v>
      </c>
      <c r="E253" s="768" t="s">
        <v>3335</v>
      </c>
      <c r="F253" s="768" t="s">
        <v>1440</v>
      </c>
      <c r="G253" s="768" t="s">
        <v>1441</v>
      </c>
      <c r="H253" s="767" t="s">
        <v>3566</v>
      </c>
      <c r="I253" s="767" t="s">
        <v>1442</v>
      </c>
      <c r="J253" s="767" t="s">
        <v>1443</v>
      </c>
      <c r="K253" s="20" t="s">
        <v>1444</v>
      </c>
      <c r="L253" s="769" t="s">
        <v>1445</v>
      </c>
      <c r="M253" s="767" t="s">
        <v>1446</v>
      </c>
      <c r="N253" s="767" t="s">
        <v>1447</v>
      </c>
    </row>
    <row r="254" spans="1:15" s="23" customFormat="1" ht="17.399999999999999">
      <c r="A254" s="767" t="s">
        <v>1448</v>
      </c>
      <c r="B254" s="767" t="s">
        <v>1449</v>
      </c>
      <c r="C254" s="768" t="s">
        <v>4248</v>
      </c>
      <c r="D254" s="767" t="s">
        <v>1450</v>
      </c>
      <c r="E254" s="768" t="s">
        <v>3170</v>
      </c>
      <c r="F254" s="768" t="s">
        <v>1451</v>
      </c>
      <c r="G254" s="768" t="s">
        <v>1452</v>
      </c>
      <c r="H254" s="767" t="s">
        <v>3567</v>
      </c>
      <c r="I254" s="767" t="s">
        <v>1453</v>
      </c>
      <c r="J254" s="767" t="s">
        <v>1454</v>
      </c>
      <c r="K254" s="20" t="s">
        <v>1455</v>
      </c>
      <c r="L254" s="769" t="s">
        <v>1456</v>
      </c>
      <c r="M254" s="767" t="s">
        <v>1457</v>
      </c>
      <c r="N254" s="767" t="s">
        <v>1458</v>
      </c>
    </row>
    <row r="255" spans="1:15" s="23" customFormat="1">
      <c r="A255" s="658" t="s">
        <v>3863</v>
      </c>
      <c r="B255" s="658" t="s">
        <v>3863</v>
      </c>
      <c r="C255" s="20" t="s">
        <v>4307</v>
      </c>
      <c r="D255" s="658" t="s">
        <v>3863</v>
      </c>
      <c r="E255" s="658" t="s">
        <v>3863</v>
      </c>
      <c r="F255" s="658" t="s">
        <v>3863</v>
      </c>
      <c r="G255" s="658" t="s">
        <v>3863</v>
      </c>
      <c r="H255" s="658" t="s">
        <v>3863</v>
      </c>
      <c r="I255" s="658" t="s">
        <v>3863</v>
      </c>
      <c r="J255" s="658" t="s">
        <v>3863</v>
      </c>
      <c r="K255" s="658" t="s">
        <v>3863</v>
      </c>
      <c r="L255" s="658" t="s">
        <v>3863</v>
      </c>
      <c r="M255" s="658" t="s">
        <v>3863</v>
      </c>
      <c r="N255" s="658" t="s">
        <v>3863</v>
      </c>
      <c r="O255"/>
    </row>
    <row r="256" spans="1:15" s="23" customFormat="1">
      <c r="A256" s="658" t="s">
        <v>3864</v>
      </c>
      <c r="B256" s="658" t="s">
        <v>3864</v>
      </c>
      <c r="C256" s="20" t="s">
        <v>4308</v>
      </c>
      <c r="D256" s="658" t="s">
        <v>3864</v>
      </c>
      <c r="E256" s="658" t="s">
        <v>3864</v>
      </c>
      <c r="F256" s="658" t="s">
        <v>3864</v>
      </c>
      <c r="G256" s="658" t="s">
        <v>3864</v>
      </c>
      <c r="H256" s="658" t="s">
        <v>3864</v>
      </c>
      <c r="I256" s="658" t="s">
        <v>3864</v>
      </c>
      <c r="J256" s="658" t="s">
        <v>3864</v>
      </c>
      <c r="K256" s="658" t="s">
        <v>3864</v>
      </c>
      <c r="L256" s="658" t="s">
        <v>3864</v>
      </c>
      <c r="M256" s="658" t="s">
        <v>3864</v>
      </c>
      <c r="N256" s="658" t="s">
        <v>3864</v>
      </c>
      <c r="O256"/>
    </row>
    <row r="257" spans="1:14" s="23" customFormat="1" ht="17.399999999999999">
      <c r="A257" s="767" t="s">
        <v>1459</v>
      </c>
      <c r="B257" s="767" t="s">
        <v>1460</v>
      </c>
      <c r="C257" s="768" t="s">
        <v>1461</v>
      </c>
      <c r="D257" s="767" t="s">
        <v>1462</v>
      </c>
      <c r="E257" s="768" t="s">
        <v>3171</v>
      </c>
      <c r="F257" s="768" t="s">
        <v>1463</v>
      </c>
      <c r="G257" s="768" t="s">
        <v>1464</v>
      </c>
      <c r="H257" s="767" t="s">
        <v>3568</v>
      </c>
      <c r="I257" s="767" t="s">
        <v>1465</v>
      </c>
      <c r="J257" s="767" t="s">
        <v>1466</v>
      </c>
      <c r="K257" s="767" t="s">
        <v>1467</v>
      </c>
      <c r="L257" s="769" t="s">
        <v>1468</v>
      </c>
      <c r="M257" s="767" t="s">
        <v>1469</v>
      </c>
      <c r="N257" s="767" t="s">
        <v>1470</v>
      </c>
    </row>
    <row r="258" spans="1:14" s="23" customFormat="1" ht="17.399999999999999">
      <c r="A258" s="20" t="s">
        <v>1471</v>
      </c>
      <c r="B258" s="20" t="s">
        <v>1472</v>
      </c>
      <c r="C258" s="768" t="s">
        <v>4309</v>
      </c>
      <c r="D258" s="20" t="s">
        <v>1473</v>
      </c>
      <c r="E258" s="768" t="s">
        <v>3172</v>
      </c>
      <c r="F258" s="768" t="s">
        <v>1474</v>
      </c>
      <c r="G258" s="768" t="s">
        <v>1475</v>
      </c>
      <c r="H258" s="20" t="s">
        <v>3569</v>
      </c>
      <c r="I258" s="20" t="s">
        <v>1476</v>
      </c>
      <c r="J258" s="20" t="s">
        <v>1477</v>
      </c>
      <c r="K258" s="20" t="s">
        <v>1478</v>
      </c>
      <c r="L258" s="770" t="s">
        <v>1479</v>
      </c>
      <c r="M258" s="20" t="s">
        <v>1480</v>
      </c>
      <c r="N258" s="20" t="s">
        <v>1481</v>
      </c>
    </row>
    <row r="259" spans="1:14" s="23" customFormat="1" ht="17.399999999999999">
      <c r="A259" s="20" t="s">
        <v>3293</v>
      </c>
      <c r="B259" s="20" t="s">
        <v>3294</v>
      </c>
      <c r="C259" s="768" t="s">
        <v>3295</v>
      </c>
      <c r="D259" s="20" t="s">
        <v>3296</v>
      </c>
      <c r="E259" s="768" t="s">
        <v>3297</v>
      </c>
      <c r="F259" s="768" t="s">
        <v>3298</v>
      </c>
      <c r="G259" s="768" t="s">
        <v>3299</v>
      </c>
      <c r="H259" s="20" t="s">
        <v>3570</v>
      </c>
      <c r="I259" s="20" t="s">
        <v>3300</v>
      </c>
      <c r="J259" s="20" t="s">
        <v>3301</v>
      </c>
      <c r="K259" s="20" t="s">
        <v>3302</v>
      </c>
      <c r="L259" s="770" t="s">
        <v>3303</v>
      </c>
      <c r="M259" s="20" t="s">
        <v>3304</v>
      </c>
      <c r="N259" s="20" t="s">
        <v>3305</v>
      </c>
    </row>
    <row r="260" spans="1:14" s="23" customFormat="1" ht="17.399999999999999">
      <c r="A260" s="20" t="s">
        <v>1482</v>
      </c>
      <c r="B260" s="20" t="s">
        <v>1483</v>
      </c>
      <c r="C260" s="768" t="s">
        <v>1484</v>
      </c>
      <c r="D260" s="20" t="s">
        <v>1485</v>
      </c>
      <c r="E260" s="768" t="s">
        <v>3173</v>
      </c>
      <c r="F260" s="768" t="s">
        <v>1486</v>
      </c>
      <c r="G260" s="768" t="s">
        <v>1487</v>
      </c>
      <c r="H260" s="20" t="s">
        <v>3571</v>
      </c>
      <c r="I260" s="20" t="s">
        <v>1488</v>
      </c>
      <c r="J260" s="20" t="s">
        <v>1489</v>
      </c>
      <c r="K260" s="20" t="s">
        <v>1490</v>
      </c>
      <c r="L260" s="770" t="s">
        <v>3009</v>
      </c>
      <c r="M260" s="20" t="s">
        <v>1491</v>
      </c>
      <c r="N260" s="20" t="s">
        <v>1492</v>
      </c>
    </row>
    <row r="261" spans="1:14" s="23" customFormat="1" ht="17.399999999999999">
      <c r="A261" s="767" t="s">
        <v>3306</v>
      </c>
      <c r="B261" s="767" t="s">
        <v>3307</v>
      </c>
      <c r="C261" s="768" t="s">
        <v>3308</v>
      </c>
      <c r="D261" s="767" t="s">
        <v>3309</v>
      </c>
      <c r="E261" s="768" t="s">
        <v>3310</v>
      </c>
      <c r="F261" s="768" t="s">
        <v>3311</v>
      </c>
      <c r="G261" s="768" t="s">
        <v>3312</v>
      </c>
      <c r="H261" s="767" t="s">
        <v>3572</v>
      </c>
      <c r="I261" s="767" t="s">
        <v>3313</v>
      </c>
      <c r="J261" s="767" t="s">
        <v>3314</v>
      </c>
      <c r="K261" s="767" t="s">
        <v>3315</v>
      </c>
      <c r="L261" s="769" t="s">
        <v>3316</v>
      </c>
      <c r="M261" s="767" t="s">
        <v>3317</v>
      </c>
      <c r="N261" s="767" t="s">
        <v>3318</v>
      </c>
    </row>
    <row r="262" spans="1:14" s="23" customFormat="1" ht="17.399999999999999">
      <c r="A262" s="767" t="s">
        <v>1493</v>
      </c>
      <c r="B262" s="767" t="s">
        <v>1494</v>
      </c>
      <c r="C262" s="768" t="s">
        <v>1495</v>
      </c>
      <c r="D262" s="767" t="s">
        <v>1496</v>
      </c>
      <c r="E262" s="768" t="s">
        <v>3174</v>
      </c>
      <c r="F262" s="768" t="s">
        <v>3007</v>
      </c>
      <c r="G262" s="768" t="s">
        <v>1497</v>
      </c>
      <c r="H262" s="767" t="s">
        <v>3573</v>
      </c>
      <c r="I262" s="767" t="s">
        <v>1498</v>
      </c>
      <c r="J262" s="767" t="s">
        <v>1499</v>
      </c>
      <c r="K262" s="767" t="s">
        <v>1500</v>
      </c>
      <c r="L262" s="769" t="s">
        <v>3008</v>
      </c>
      <c r="M262" s="767" t="s">
        <v>1501</v>
      </c>
      <c r="N262" s="767" t="s">
        <v>1502</v>
      </c>
    </row>
    <row r="263" spans="1:14" s="23" customFormat="1">
      <c r="A263" s="23" t="s">
        <v>2558</v>
      </c>
      <c r="B263" s="773" t="s">
        <v>2559</v>
      </c>
      <c r="C263" s="23" t="s">
        <v>2560</v>
      </c>
      <c r="D263" s="23" t="s">
        <v>3702</v>
      </c>
      <c r="E263" s="23" t="s">
        <v>3269</v>
      </c>
      <c r="F263" s="23" t="s">
        <v>2558</v>
      </c>
      <c r="G263" s="23" t="s">
        <v>2561</v>
      </c>
      <c r="H263" s="23" t="s">
        <v>3574</v>
      </c>
      <c r="I263" s="23" t="s">
        <v>2562</v>
      </c>
      <c r="J263" s="23" t="s">
        <v>2563</v>
      </c>
      <c r="K263" s="23" t="s">
        <v>2564</v>
      </c>
      <c r="L263" s="773" t="s">
        <v>2565</v>
      </c>
      <c r="M263" s="23" t="s">
        <v>2566</v>
      </c>
      <c r="N263" s="773" t="s">
        <v>2567</v>
      </c>
    </row>
    <row r="264" spans="1:14" s="23" customFormat="1">
      <c r="A264" s="23" t="s">
        <v>2568</v>
      </c>
      <c r="B264" s="773" t="s">
        <v>2569</v>
      </c>
      <c r="C264" s="23" t="s">
        <v>2570</v>
      </c>
      <c r="D264" s="23" t="s">
        <v>3703</v>
      </c>
      <c r="E264" s="23" t="s">
        <v>3270</v>
      </c>
      <c r="F264" s="23" t="s">
        <v>2568</v>
      </c>
      <c r="G264" s="23" t="s">
        <v>2571</v>
      </c>
      <c r="H264" s="23" t="s">
        <v>3575</v>
      </c>
      <c r="I264" s="23" t="s">
        <v>2572</v>
      </c>
      <c r="J264" s="23" t="s">
        <v>2573</v>
      </c>
      <c r="K264" s="23" t="s">
        <v>2574</v>
      </c>
      <c r="L264" s="773" t="s">
        <v>2575</v>
      </c>
      <c r="M264" s="23" t="s">
        <v>2576</v>
      </c>
      <c r="N264" s="773" t="s">
        <v>2577</v>
      </c>
    </row>
    <row r="265" spans="1:14" s="23" customFormat="1">
      <c r="A265" s="23" t="s">
        <v>2578</v>
      </c>
      <c r="B265" s="773" t="s">
        <v>2579</v>
      </c>
      <c r="C265" s="23" t="s">
        <v>2580</v>
      </c>
      <c r="D265" s="23" t="s">
        <v>3704</v>
      </c>
      <c r="E265" s="23" t="s">
        <v>3271</v>
      </c>
      <c r="F265" s="23" t="s">
        <v>2578</v>
      </c>
      <c r="G265" s="23" t="s">
        <v>2581</v>
      </c>
      <c r="H265" s="23" t="s">
        <v>3576</v>
      </c>
      <c r="I265" s="23" t="s">
        <v>2582</v>
      </c>
      <c r="J265" s="23" t="s">
        <v>2583</v>
      </c>
      <c r="K265" s="23" t="s">
        <v>2584</v>
      </c>
      <c r="L265" s="773" t="s">
        <v>2585</v>
      </c>
      <c r="M265" s="23" t="s">
        <v>2586</v>
      </c>
      <c r="N265" s="773" t="s">
        <v>2587</v>
      </c>
    </row>
    <row r="266" spans="1:14" s="23" customFormat="1">
      <c r="A266" s="23" t="s">
        <v>2588</v>
      </c>
      <c r="B266" s="773" t="s">
        <v>2589</v>
      </c>
      <c r="C266" s="23" t="s">
        <v>2590</v>
      </c>
      <c r="D266" s="23" t="s">
        <v>3705</v>
      </c>
      <c r="E266" s="23" t="s">
        <v>3272</v>
      </c>
      <c r="F266" s="23" t="s">
        <v>2588</v>
      </c>
      <c r="G266" s="23" t="s">
        <v>2591</v>
      </c>
      <c r="H266" s="23" t="s">
        <v>3577</v>
      </c>
      <c r="I266" s="23" t="s">
        <v>2592</v>
      </c>
      <c r="J266" s="23" t="s">
        <v>2593</v>
      </c>
      <c r="K266" s="23" t="s">
        <v>2594</v>
      </c>
      <c r="L266" s="773" t="s">
        <v>2595</v>
      </c>
      <c r="M266" s="23" t="s">
        <v>2596</v>
      </c>
      <c r="N266" s="773" t="s">
        <v>2597</v>
      </c>
    </row>
    <row r="267" spans="1:14" s="23" customFormat="1">
      <c r="A267" s="23" t="s">
        <v>2598</v>
      </c>
      <c r="B267" s="773" t="s">
        <v>2559</v>
      </c>
      <c r="C267" s="23" t="s">
        <v>2560</v>
      </c>
      <c r="D267" s="23" t="s">
        <v>3702</v>
      </c>
      <c r="E267" s="23" t="s">
        <v>3269</v>
      </c>
      <c r="F267" s="23" t="s">
        <v>2598</v>
      </c>
      <c r="G267" s="23" t="s">
        <v>2561</v>
      </c>
      <c r="H267" s="23" t="s">
        <v>3574</v>
      </c>
      <c r="I267" s="23" t="s">
        <v>2562</v>
      </c>
      <c r="J267" s="23" t="s">
        <v>2563</v>
      </c>
      <c r="K267" s="23" t="s">
        <v>2599</v>
      </c>
      <c r="L267" s="773" t="s">
        <v>2565</v>
      </c>
      <c r="M267" s="23" t="s">
        <v>2600</v>
      </c>
      <c r="N267" s="773" t="s">
        <v>2567</v>
      </c>
    </row>
    <row r="268" spans="1:14" s="23" customFormat="1">
      <c r="A268" s="23" t="s">
        <v>2601</v>
      </c>
      <c r="B268" s="773" t="s">
        <v>2602</v>
      </c>
      <c r="C268" s="23" t="s">
        <v>2603</v>
      </c>
      <c r="D268" s="23" t="s">
        <v>3706</v>
      </c>
      <c r="E268" s="23" t="s">
        <v>3273</v>
      </c>
      <c r="F268" s="23" t="s">
        <v>2601</v>
      </c>
      <c r="G268" s="23" t="s">
        <v>2604</v>
      </c>
      <c r="H268" s="23" t="s">
        <v>3578</v>
      </c>
      <c r="I268" s="23" t="s">
        <v>2605</v>
      </c>
      <c r="J268" s="23" t="s">
        <v>2606</v>
      </c>
      <c r="K268" s="23" t="s">
        <v>2607</v>
      </c>
      <c r="L268" s="773" t="s">
        <v>2608</v>
      </c>
      <c r="M268" s="23" t="s">
        <v>2609</v>
      </c>
      <c r="N268" s="773" t="s">
        <v>2610</v>
      </c>
    </row>
    <row r="269" spans="1:14" s="23" customFormat="1">
      <c r="A269" s="23" t="s">
        <v>2611</v>
      </c>
      <c r="B269" s="773" t="s">
        <v>2612</v>
      </c>
      <c r="C269" s="23" t="s">
        <v>2613</v>
      </c>
      <c r="D269" s="23" t="s">
        <v>3707</v>
      </c>
      <c r="E269" s="23" t="s">
        <v>3274</v>
      </c>
      <c r="F269" s="23" t="s">
        <v>2611</v>
      </c>
      <c r="G269" s="23" t="s">
        <v>2614</v>
      </c>
      <c r="H269" s="23" t="s">
        <v>3579</v>
      </c>
      <c r="I269" s="23" t="s">
        <v>2615</v>
      </c>
      <c r="J269" s="23" t="s">
        <v>2616</v>
      </c>
      <c r="K269" s="23" t="s">
        <v>2617</v>
      </c>
      <c r="L269" s="773" t="s">
        <v>2618</v>
      </c>
      <c r="M269" s="23" t="s">
        <v>2619</v>
      </c>
      <c r="N269" s="773" t="s">
        <v>2620</v>
      </c>
    </row>
    <row r="270" spans="1:14" s="23" customFormat="1" ht="17.399999999999999">
      <c r="A270" s="20" t="s">
        <v>1503</v>
      </c>
      <c r="B270" s="20" t="s">
        <v>1504</v>
      </c>
      <c r="C270" s="768" t="s">
        <v>1505</v>
      </c>
      <c r="D270" s="20" t="s">
        <v>1506</v>
      </c>
      <c r="E270" s="768" t="s">
        <v>3175</v>
      </c>
      <c r="F270" s="768" t="s">
        <v>1507</v>
      </c>
      <c r="G270" s="768" t="s">
        <v>1508</v>
      </c>
      <c r="H270" s="20" t="s">
        <v>3175</v>
      </c>
      <c r="I270" s="20" t="s">
        <v>1509</v>
      </c>
      <c r="J270" s="20" t="s">
        <v>1510</v>
      </c>
      <c r="K270" s="20" t="s">
        <v>1511</v>
      </c>
      <c r="L270" s="770" t="s">
        <v>1512</v>
      </c>
      <c r="M270" s="20" t="s">
        <v>1511</v>
      </c>
      <c r="N270" s="20" t="s">
        <v>1513</v>
      </c>
    </row>
    <row r="271" spans="1:14" s="23" customFormat="1" ht="17.399999999999999">
      <c r="A271" s="20" t="s">
        <v>1514</v>
      </c>
      <c r="B271" s="20" t="s">
        <v>2716</v>
      </c>
      <c r="C271" s="768" t="s">
        <v>1516</v>
      </c>
      <c r="D271" s="20" t="s">
        <v>3708</v>
      </c>
      <c r="E271" s="768" t="s">
        <v>3176</v>
      </c>
      <c r="F271" s="768" t="s">
        <v>1517</v>
      </c>
      <c r="G271" s="768" t="s">
        <v>1518</v>
      </c>
      <c r="H271" s="20" t="s">
        <v>3580</v>
      </c>
      <c r="I271" s="20" t="s">
        <v>1514</v>
      </c>
      <c r="J271" s="20" t="s">
        <v>1519</v>
      </c>
      <c r="K271" s="20" t="s">
        <v>1520</v>
      </c>
      <c r="L271" s="770" t="s">
        <v>1514</v>
      </c>
      <c r="M271" s="20" t="s">
        <v>1515</v>
      </c>
      <c r="N271" s="20" t="s">
        <v>1521</v>
      </c>
    </row>
    <row r="272" spans="1:14" s="23" customFormat="1" ht="17.399999999999999">
      <c r="A272" s="20" t="s">
        <v>1522</v>
      </c>
      <c r="B272" s="20" t="s">
        <v>1523</v>
      </c>
      <c r="C272" s="768" t="s">
        <v>4310</v>
      </c>
      <c r="D272" s="20" t="s">
        <v>1524</v>
      </c>
      <c r="E272" s="768" t="s">
        <v>1526</v>
      </c>
      <c r="F272" s="768" t="s">
        <v>1525</v>
      </c>
      <c r="G272" s="768" t="s">
        <v>1526</v>
      </c>
      <c r="H272" s="20" t="s">
        <v>1526</v>
      </c>
      <c r="I272" s="20" t="s">
        <v>1524</v>
      </c>
      <c r="J272" s="20" t="s">
        <v>1527</v>
      </c>
      <c r="K272" s="20" t="s">
        <v>1522</v>
      </c>
      <c r="L272" s="770" t="s">
        <v>1522</v>
      </c>
      <c r="M272" s="20" t="s">
        <v>1528</v>
      </c>
      <c r="N272" s="20" t="s">
        <v>1526</v>
      </c>
    </row>
    <row r="273" spans="1:15" s="23" customFormat="1">
      <c r="A273" s="23" t="s">
        <v>3027</v>
      </c>
      <c r="B273" s="773" t="s">
        <v>3029</v>
      </c>
      <c r="C273" s="23" t="s">
        <v>4311</v>
      </c>
      <c r="D273" s="23" t="s">
        <v>3709</v>
      </c>
      <c r="E273" s="23" t="s">
        <v>3288</v>
      </c>
      <c r="F273" s="23" t="s">
        <v>3027</v>
      </c>
      <c r="G273" s="23" t="s">
        <v>3031</v>
      </c>
      <c r="H273" s="23" t="s">
        <v>3581</v>
      </c>
      <c r="I273" s="23" t="s">
        <v>3033</v>
      </c>
      <c r="J273" s="23" t="s">
        <v>3035</v>
      </c>
      <c r="K273" s="23" t="s">
        <v>3037</v>
      </c>
      <c r="L273" s="773" t="s">
        <v>3039</v>
      </c>
      <c r="M273" s="23" t="s">
        <v>3041</v>
      </c>
      <c r="N273" s="773" t="s">
        <v>3043</v>
      </c>
    </row>
    <row r="274" spans="1:15" s="23" customFormat="1">
      <c r="A274" s="23" t="s">
        <v>3028</v>
      </c>
      <c r="B274" s="773" t="s">
        <v>3030</v>
      </c>
      <c r="C274" s="23" t="s">
        <v>4312</v>
      </c>
      <c r="D274" s="23" t="s">
        <v>3710</v>
      </c>
      <c r="E274" s="23" t="s">
        <v>3289</v>
      </c>
      <c r="F274" s="23" t="s">
        <v>3028</v>
      </c>
      <c r="G274" s="23" t="s">
        <v>3032</v>
      </c>
      <c r="H274" s="23" t="s">
        <v>3582</v>
      </c>
      <c r="I274" s="23" t="s">
        <v>3034</v>
      </c>
      <c r="J274" s="23" t="s">
        <v>3036</v>
      </c>
      <c r="K274" s="23" t="s">
        <v>3038</v>
      </c>
      <c r="L274" s="773" t="s">
        <v>3040</v>
      </c>
      <c r="M274" s="23" t="s">
        <v>3042</v>
      </c>
      <c r="N274" s="773" t="s">
        <v>3044</v>
      </c>
    </row>
    <row r="275" spans="1:15" s="23" customFormat="1" ht="17.399999999999999">
      <c r="A275" s="20" t="s">
        <v>1529</v>
      </c>
      <c r="B275" s="20" t="s">
        <v>1530</v>
      </c>
      <c r="C275" s="768" t="s">
        <v>1531</v>
      </c>
      <c r="D275" s="20" t="s">
        <v>1532</v>
      </c>
      <c r="E275" s="768" t="s">
        <v>3177</v>
      </c>
      <c r="F275" s="768" t="s">
        <v>1533</v>
      </c>
      <c r="G275" s="768" t="s">
        <v>1534</v>
      </c>
      <c r="H275" s="20" t="s">
        <v>3583</v>
      </c>
      <c r="I275" s="20" t="s">
        <v>1535</v>
      </c>
      <c r="J275" s="20" t="s">
        <v>1536</v>
      </c>
      <c r="K275" s="20" t="s">
        <v>1537</v>
      </c>
      <c r="L275" s="770" t="s">
        <v>1538</v>
      </c>
      <c r="M275" s="20" t="s">
        <v>1539</v>
      </c>
      <c r="N275" s="20" t="s">
        <v>1540</v>
      </c>
    </row>
    <row r="276" spans="1:15" s="23" customFormat="1" ht="17.399999999999999">
      <c r="A276" s="20" t="s">
        <v>1541</v>
      </c>
      <c r="B276" s="20" t="s">
        <v>1542</v>
      </c>
      <c r="C276" s="768" t="s">
        <v>1543</v>
      </c>
      <c r="D276" s="20" t="s">
        <v>1544</v>
      </c>
      <c r="E276" s="768" t="s">
        <v>3178</v>
      </c>
      <c r="F276" s="768" t="s">
        <v>1545</v>
      </c>
      <c r="G276" s="768" t="s">
        <v>1546</v>
      </c>
      <c r="H276" s="20" t="s">
        <v>3584</v>
      </c>
      <c r="I276" s="20" t="s">
        <v>1547</v>
      </c>
      <c r="J276" s="20" t="s">
        <v>1548</v>
      </c>
      <c r="K276" s="20" t="s">
        <v>1549</v>
      </c>
      <c r="L276" s="770" t="s">
        <v>1550</v>
      </c>
      <c r="M276" s="20" t="s">
        <v>1551</v>
      </c>
      <c r="N276" s="20" t="s">
        <v>1552</v>
      </c>
    </row>
    <row r="277" spans="1:15" s="23" customFormat="1" ht="17.399999999999999">
      <c r="A277" s="20" t="s">
        <v>1553</v>
      </c>
      <c r="B277" s="20" t="s">
        <v>1554</v>
      </c>
      <c r="C277" s="768" t="s">
        <v>1555</v>
      </c>
      <c r="D277" s="20" t="s">
        <v>1556</v>
      </c>
      <c r="E277" s="768" t="s">
        <v>3179</v>
      </c>
      <c r="F277" s="768" t="s">
        <v>1557</v>
      </c>
      <c r="G277" s="768" t="s">
        <v>1558</v>
      </c>
      <c r="H277" s="20" t="s">
        <v>3585</v>
      </c>
      <c r="I277" s="20" t="s">
        <v>1559</v>
      </c>
      <c r="J277" s="20" t="s">
        <v>1560</v>
      </c>
      <c r="K277" s="20" t="s">
        <v>1561</v>
      </c>
      <c r="L277" s="770" t="s">
        <v>1562</v>
      </c>
      <c r="M277" s="20" t="s">
        <v>1562</v>
      </c>
      <c r="N277" s="20" t="s">
        <v>1563</v>
      </c>
    </row>
    <row r="278" spans="1:15" s="23" customFormat="1">
      <c r="A278" s="20" t="s">
        <v>2150</v>
      </c>
      <c r="B278" s="787" t="s">
        <v>2151</v>
      </c>
      <c r="C278" s="20" t="s">
        <v>1564</v>
      </c>
      <c r="D278" s="20" t="s">
        <v>3711</v>
      </c>
      <c r="E278" s="20" t="s">
        <v>3229</v>
      </c>
      <c r="F278" s="20" t="s">
        <v>2150</v>
      </c>
      <c r="G278" s="20" t="s">
        <v>2152</v>
      </c>
      <c r="H278" s="20" t="s">
        <v>3586</v>
      </c>
      <c r="I278" s="20" t="s">
        <v>2153</v>
      </c>
      <c r="J278" s="787" t="s">
        <v>2154</v>
      </c>
      <c r="K278" s="20" t="s">
        <v>2155</v>
      </c>
      <c r="L278" s="787" t="s">
        <v>2156</v>
      </c>
      <c r="M278" s="20" t="s">
        <v>2157</v>
      </c>
      <c r="N278" s="787" t="s">
        <v>2158</v>
      </c>
    </row>
    <row r="279" spans="1:15" s="23" customFormat="1" ht="17.399999999999999">
      <c r="A279" s="20" t="s">
        <v>1565</v>
      </c>
      <c r="B279" s="20" t="s">
        <v>1566</v>
      </c>
      <c r="C279" s="768" t="s">
        <v>1567</v>
      </c>
      <c r="D279" s="20" t="s">
        <v>1568</v>
      </c>
      <c r="E279" s="768" t="s">
        <v>3180</v>
      </c>
      <c r="F279" s="768" t="s">
        <v>1569</v>
      </c>
      <c r="G279" s="768" t="s">
        <v>1570</v>
      </c>
      <c r="H279" s="20" t="s">
        <v>3587</v>
      </c>
      <c r="I279" s="20" t="s">
        <v>1571</v>
      </c>
      <c r="J279" s="20" t="s">
        <v>1572</v>
      </c>
      <c r="K279" s="20" t="s">
        <v>1573</v>
      </c>
      <c r="L279" s="770" t="s">
        <v>1574</v>
      </c>
      <c r="M279" s="20" t="s">
        <v>1575</v>
      </c>
      <c r="N279" s="20" t="s">
        <v>1576</v>
      </c>
    </row>
    <row r="280" spans="1:15" s="23" customFormat="1" ht="17.399999999999999">
      <c r="A280" s="20" t="s">
        <v>1577</v>
      </c>
      <c r="B280" s="20" t="s">
        <v>1578</v>
      </c>
      <c r="C280" s="768" t="s">
        <v>1579</v>
      </c>
      <c r="D280" s="20" t="s">
        <v>1580</v>
      </c>
      <c r="E280" s="768" t="s">
        <v>3181</v>
      </c>
      <c r="F280" s="768" t="s">
        <v>1581</v>
      </c>
      <c r="G280" s="768" t="s">
        <v>1582</v>
      </c>
      <c r="H280" s="20" t="s">
        <v>3588</v>
      </c>
      <c r="I280" s="20" t="s">
        <v>1583</v>
      </c>
      <c r="J280" s="20" t="s">
        <v>1584</v>
      </c>
      <c r="K280" s="20" t="s">
        <v>1585</v>
      </c>
      <c r="L280" s="770" t="s">
        <v>1586</v>
      </c>
      <c r="M280" s="20" t="s">
        <v>1587</v>
      </c>
      <c r="N280" s="20" t="s">
        <v>1588</v>
      </c>
    </row>
    <row r="281" spans="1:15" s="23" customFormat="1">
      <c r="A281" s="658" t="s">
        <v>4117</v>
      </c>
      <c r="B281" s="658" t="s">
        <v>4117</v>
      </c>
      <c r="C281" s="20" t="s">
        <v>4192</v>
      </c>
      <c r="D281" s="658" t="s">
        <v>4117</v>
      </c>
      <c r="E281" s="658" t="s">
        <v>4117</v>
      </c>
      <c r="F281" s="658" t="s">
        <v>4117</v>
      </c>
      <c r="G281" s="658" t="s">
        <v>4117</v>
      </c>
      <c r="H281" s="658" t="s">
        <v>4117</v>
      </c>
      <c r="I281" s="658" t="s">
        <v>4117</v>
      </c>
      <c r="J281" s="658" t="s">
        <v>4117</v>
      </c>
      <c r="K281" s="658" t="s">
        <v>4117</v>
      </c>
      <c r="L281" s="658" t="s">
        <v>4117</v>
      </c>
      <c r="M281" s="658" t="s">
        <v>4117</v>
      </c>
      <c r="N281" s="658" t="s">
        <v>4117</v>
      </c>
      <c r="O281"/>
    </row>
    <row r="282" spans="1:15" s="23" customFormat="1">
      <c r="A282" s="658" t="s">
        <v>3931</v>
      </c>
      <c r="B282" s="658" t="s">
        <v>3931</v>
      </c>
      <c r="C282" s="20" t="s">
        <v>4173</v>
      </c>
      <c r="D282" s="658" t="s">
        <v>3931</v>
      </c>
      <c r="E282" s="658" t="s">
        <v>3931</v>
      </c>
      <c r="F282" s="658" t="s">
        <v>3931</v>
      </c>
      <c r="G282" s="658" t="s">
        <v>3931</v>
      </c>
      <c r="H282" s="658" t="s">
        <v>3931</v>
      </c>
      <c r="I282" s="658" t="s">
        <v>3931</v>
      </c>
      <c r="J282" s="658" t="s">
        <v>3931</v>
      </c>
      <c r="K282" s="658" t="s">
        <v>3931</v>
      </c>
      <c r="L282" s="658" t="s">
        <v>3931</v>
      </c>
      <c r="M282" s="658" t="s">
        <v>3931</v>
      </c>
      <c r="N282" s="658" t="s">
        <v>3931</v>
      </c>
      <c r="O282"/>
    </row>
    <row r="283" spans="1:15" s="23" customFormat="1">
      <c r="A283" s="658" t="s">
        <v>3932</v>
      </c>
      <c r="B283" s="658" t="s">
        <v>3932</v>
      </c>
      <c r="C283" s="20" t="s">
        <v>4174</v>
      </c>
      <c r="D283" s="658" t="s">
        <v>3932</v>
      </c>
      <c r="E283" s="658" t="s">
        <v>3932</v>
      </c>
      <c r="F283" s="658" t="s">
        <v>3932</v>
      </c>
      <c r="G283" s="658" t="s">
        <v>3932</v>
      </c>
      <c r="H283" s="658" t="s">
        <v>3932</v>
      </c>
      <c r="I283" s="658" t="s">
        <v>3932</v>
      </c>
      <c r="J283" s="658" t="s">
        <v>3932</v>
      </c>
      <c r="K283" s="658" t="s">
        <v>3932</v>
      </c>
      <c r="L283" s="658" t="s">
        <v>3932</v>
      </c>
      <c r="M283" s="658" t="s">
        <v>3932</v>
      </c>
      <c r="N283" s="658" t="s">
        <v>3932</v>
      </c>
      <c r="O283"/>
    </row>
    <row r="284" spans="1:15" s="23" customFormat="1" ht="13.5" customHeight="1">
      <c r="A284" s="658" t="s">
        <v>3933</v>
      </c>
      <c r="B284" s="658" t="s">
        <v>3933</v>
      </c>
      <c r="C284" s="20" t="s">
        <v>4175</v>
      </c>
      <c r="D284" s="658" t="s">
        <v>3933</v>
      </c>
      <c r="E284" s="658" t="s">
        <v>3933</v>
      </c>
      <c r="F284" s="658" t="s">
        <v>3933</v>
      </c>
      <c r="G284" s="658" t="s">
        <v>3933</v>
      </c>
      <c r="H284" s="658" t="s">
        <v>3933</v>
      </c>
      <c r="I284" s="658" t="s">
        <v>3933</v>
      </c>
      <c r="J284" s="658" t="s">
        <v>3933</v>
      </c>
      <c r="K284" s="658" t="s">
        <v>3933</v>
      </c>
      <c r="L284" s="658" t="s">
        <v>3933</v>
      </c>
      <c r="M284" s="658" t="s">
        <v>3933</v>
      </c>
      <c r="N284" s="658" t="s">
        <v>3933</v>
      </c>
      <c r="O284"/>
    </row>
    <row r="285" spans="1:15" s="23" customFormat="1">
      <c r="A285" s="658" t="s">
        <v>3930</v>
      </c>
      <c r="B285" s="658" t="s">
        <v>3930</v>
      </c>
      <c r="C285" s="20" t="s">
        <v>4172</v>
      </c>
      <c r="D285" s="658" t="s">
        <v>3930</v>
      </c>
      <c r="E285" s="658" t="s">
        <v>3930</v>
      </c>
      <c r="F285" s="658" t="s">
        <v>3930</v>
      </c>
      <c r="G285" s="658" t="s">
        <v>3930</v>
      </c>
      <c r="H285" s="658" t="s">
        <v>3930</v>
      </c>
      <c r="I285" s="658" t="s">
        <v>3930</v>
      </c>
      <c r="J285" s="658" t="s">
        <v>3930</v>
      </c>
      <c r="K285" s="658" t="s">
        <v>3930</v>
      </c>
      <c r="L285" s="658" t="s">
        <v>3930</v>
      </c>
      <c r="M285" s="658" t="s">
        <v>3930</v>
      </c>
      <c r="N285" s="658" t="s">
        <v>3930</v>
      </c>
      <c r="O285"/>
    </row>
    <row r="286" spans="1:15" s="23" customFormat="1">
      <c r="A286" s="658" t="s">
        <v>4122</v>
      </c>
      <c r="B286" s="658" t="s">
        <v>4122</v>
      </c>
      <c r="C286" s="20" t="s">
        <v>4197</v>
      </c>
      <c r="D286" s="658" t="s">
        <v>4122</v>
      </c>
      <c r="E286" s="658" t="s">
        <v>4122</v>
      </c>
      <c r="F286" s="658" t="s">
        <v>4122</v>
      </c>
      <c r="G286" s="658" t="s">
        <v>4122</v>
      </c>
      <c r="H286" s="658" t="s">
        <v>4122</v>
      </c>
      <c r="I286" s="658" t="s">
        <v>4122</v>
      </c>
      <c r="J286" s="658" t="s">
        <v>4122</v>
      </c>
      <c r="K286" s="658" t="s">
        <v>4122</v>
      </c>
      <c r="L286" s="658" t="s">
        <v>4122</v>
      </c>
      <c r="M286" s="658" t="s">
        <v>4122</v>
      </c>
      <c r="N286" s="658" t="s">
        <v>4122</v>
      </c>
      <c r="O286"/>
    </row>
    <row r="287" spans="1:15" s="23" customFormat="1">
      <c r="A287" s="658" t="s">
        <v>3915</v>
      </c>
      <c r="B287" s="658" t="s">
        <v>3915</v>
      </c>
      <c r="C287" s="20" t="s">
        <v>4157</v>
      </c>
      <c r="D287" s="658" t="s">
        <v>3915</v>
      </c>
      <c r="E287" s="658" t="s">
        <v>3915</v>
      </c>
      <c r="F287" s="658" t="s">
        <v>3915</v>
      </c>
      <c r="G287" s="658" t="s">
        <v>3915</v>
      </c>
      <c r="H287" s="658" t="s">
        <v>3915</v>
      </c>
      <c r="I287" s="658" t="s">
        <v>3915</v>
      </c>
      <c r="J287" s="658" t="s">
        <v>3915</v>
      </c>
      <c r="K287" s="658" t="s">
        <v>3915</v>
      </c>
      <c r="L287" s="658" t="s">
        <v>3915</v>
      </c>
      <c r="M287" s="658" t="s">
        <v>3915</v>
      </c>
      <c r="N287" s="658" t="s">
        <v>3915</v>
      </c>
      <c r="O287"/>
    </row>
    <row r="288" spans="1:15" s="23" customFormat="1">
      <c r="A288" s="658" t="s">
        <v>3916</v>
      </c>
      <c r="B288" s="658" t="s">
        <v>3916</v>
      </c>
      <c r="C288" s="20" t="s">
        <v>4158</v>
      </c>
      <c r="D288" s="658" t="s">
        <v>3916</v>
      </c>
      <c r="E288" s="658" t="s">
        <v>3916</v>
      </c>
      <c r="F288" s="658" t="s">
        <v>3916</v>
      </c>
      <c r="G288" s="658" t="s">
        <v>3916</v>
      </c>
      <c r="H288" s="658" t="s">
        <v>3916</v>
      </c>
      <c r="I288" s="658" t="s">
        <v>3916</v>
      </c>
      <c r="J288" s="658" t="s">
        <v>3916</v>
      </c>
      <c r="K288" s="658" t="s">
        <v>3916</v>
      </c>
      <c r="L288" s="658" t="s">
        <v>3916</v>
      </c>
      <c r="M288" s="658" t="s">
        <v>3916</v>
      </c>
      <c r="N288" s="658" t="s">
        <v>3916</v>
      </c>
      <c r="O288"/>
    </row>
    <row r="289" spans="1:15" s="23" customFormat="1">
      <c r="A289" s="658" t="s">
        <v>3917</v>
      </c>
      <c r="B289" s="658" t="s">
        <v>3917</v>
      </c>
      <c r="C289" s="20" t="s">
        <v>4159</v>
      </c>
      <c r="D289" s="658" t="s">
        <v>3917</v>
      </c>
      <c r="E289" s="658" t="s">
        <v>3917</v>
      </c>
      <c r="F289" s="658" t="s">
        <v>3917</v>
      </c>
      <c r="G289" s="658" t="s">
        <v>3917</v>
      </c>
      <c r="H289" s="658" t="s">
        <v>3917</v>
      </c>
      <c r="I289" s="658" t="s">
        <v>3917</v>
      </c>
      <c r="J289" s="658" t="s">
        <v>3917</v>
      </c>
      <c r="K289" s="658" t="s">
        <v>3917</v>
      </c>
      <c r="L289" s="658" t="s">
        <v>3917</v>
      </c>
      <c r="M289" s="658" t="s">
        <v>3917</v>
      </c>
      <c r="N289" s="658" t="s">
        <v>3917</v>
      </c>
      <c r="O289"/>
    </row>
    <row r="290" spans="1:15" s="23" customFormat="1">
      <c r="A290" s="658" t="s">
        <v>3914</v>
      </c>
      <c r="B290" s="658" t="s">
        <v>3914</v>
      </c>
      <c r="C290" s="20" t="s">
        <v>4156</v>
      </c>
      <c r="D290" s="658" t="s">
        <v>3914</v>
      </c>
      <c r="E290" s="658" t="s">
        <v>3914</v>
      </c>
      <c r="F290" s="658" t="s">
        <v>3914</v>
      </c>
      <c r="G290" s="658" t="s">
        <v>3914</v>
      </c>
      <c r="H290" s="658" t="s">
        <v>3914</v>
      </c>
      <c r="I290" s="658" t="s">
        <v>3914</v>
      </c>
      <c r="J290" s="658" t="s">
        <v>3914</v>
      </c>
      <c r="K290" s="658" t="s">
        <v>3914</v>
      </c>
      <c r="L290" s="658" t="s">
        <v>3914</v>
      </c>
      <c r="M290" s="658" t="s">
        <v>3914</v>
      </c>
      <c r="N290" s="658" t="s">
        <v>3914</v>
      </c>
      <c r="O290"/>
    </row>
    <row r="291" spans="1:15" s="23" customFormat="1">
      <c r="A291" s="658" t="s">
        <v>4118</v>
      </c>
      <c r="B291" s="658" t="s">
        <v>4118</v>
      </c>
      <c r="C291" s="20" t="s">
        <v>4193</v>
      </c>
      <c r="D291" s="658" t="s">
        <v>4118</v>
      </c>
      <c r="E291" s="658" t="s">
        <v>4118</v>
      </c>
      <c r="F291" s="658" t="s">
        <v>4118</v>
      </c>
      <c r="G291" s="658" t="s">
        <v>4118</v>
      </c>
      <c r="H291" s="658" t="s">
        <v>4118</v>
      </c>
      <c r="I291" s="658" t="s">
        <v>4118</v>
      </c>
      <c r="J291" s="658" t="s">
        <v>4118</v>
      </c>
      <c r="K291" s="658" t="s">
        <v>4118</v>
      </c>
      <c r="L291" s="658" t="s">
        <v>4118</v>
      </c>
      <c r="M291" s="658" t="s">
        <v>4118</v>
      </c>
      <c r="N291" s="658" t="s">
        <v>4118</v>
      </c>
      <c r="O291"/>
    </row>
    <row r="292" spans="1:15" s="23" customFormat="1">
      <c r="A292" s="658" t="s">
        <v>3935</v>
      </c>
      <c r="B292" s="658" t="s">
        <v>3935</v>
      </c>
      <c r="C292" s="20" t="s">
        <v>4177</v>
      </c>
      <c r="D292" s="658" t="s">
        <v>3935</v>
      </c>
      <c r="E292" s="658" t="s">
        <v>3935</v>
      </c>
      <c r="F292" s="658" t="s">
        <v>3935</v>
      </c>
      <c r="G292" s="658" t="s">
        <v>3935</v>
      </c>
      <c r="H292" s="658" t="s">
        <v>3935</v>
      </c>
      <c r="I292" s="658" t="s">
        <v>3935</v>
      </c>
      <c r="J292" s="658" t="s">
        <v>3935</v>
      </c>
      <c r="K292" s="658" t="s">
        <v>3935</v>
      </c>
      <c r="L292" s="658" t="s">
        <v>3935</v>
      </c>
      <c r="M292" s="658" t="s">
        <v>3935</v>
      </c>
      <c r="N292" s="658" t="s">
        <v>3935</v>
      </c>
      <c r="O292"/>
    </row>
    <row r="293" spans="1:15" s="23" customFormat="1">
      <c r="A293" s="658" t="s">
        <v>3936</v>
      </c>
      <c r="B293" s="658" t="s">
        <v>3936</v>
      </c>
      <c r="C293" s="20" t="s">
        <v>4178</v>
      </c>
      <c r="D293" s="658" t="s">
        <v>3936</v>
      </c>
      <c r="E293" s="658" t="s">
        <v>3936</v>
      </c>
      <c r="F293" s="658" t="s">
        <v>3936</v>
      </c>
      <c r="G293" s="658" t="s">
        <v>3936</v>
      </c>
      <c r="H293" s="658" t="s">
        <v>3936</v>
      </c>
      <c r="I293" s="658" t="s">
        <v>3936</v>
      </c>
      <c r="J293" s="658" t="s">
        <v>3936</v>
      </c>
      <c r="K293" s="658" t="s">
        <v>3936</v>
      </c>
      <c r="L293" s="658" t="s">
        <v>3936</v>
      </c>
      <c r="M293" s="658" t="s">
        <v>3936</v>
      </c>
      <c r="N293" s="658" t="s">
        <v>3936</v>
      </c>
      <c r="O293"/>
    </row>
    <row r="294" spans="1:15" s="23" customFormat="1">
      <c r="A294" s="658" t="s">
        <v>3937</v>
      </c>
      <c r="B294" s="658" t="s">
        <v>3937</v>
      </c>
      <c r="C294" s="20" t="s">
        <v>4179</v>
      </c>
      <c r="D294" s="658" t="s">
        <v>3937</v>
      </c>
      <c r="E294" s="658" t="s">
        <v>3937</v>
      </c>
      <c r="F294" s="658" t="s">
        <v>3937</v>
      </c>
      <c r="G294" s="658" t="s">
        <v>3937</v>
      </c>
      <c r="H294" s="658" t="s">
        <v>3937</v>
      </c>
      <c r="I294" s="658" t="s">
        <v>3937</v>
      </c>
      <c r="J294" s="658" t="s">
        <v>3937</v>
      </c>
      <c r="K294" s="658" t="s">
        <v>3937</v>
      </c>
      <c r="L294" s="658" t="s">
        <v>3937</v>
      </c>
      <c r="M294" s="658" t="s">
        <v>3937</v>
      </c>
      <c r="N294" s="658" t="s">
        <v>3937</v>
      </c>
      <c r="O294"/>
    </row>
    <row r="295" spans="1:15" s="23" customFormat="1">
      <c r="A295" s="658" t="s">
        <v>3934</v>
      </c>
      <c r="B295" s="658" t="s">
        <v>3934</v>
      </c>
      <c r="C295" s="20" t="s">
        <v>4176</v>
      </c>
      <c r="D295" s="658" t="s">
        <v>3934</v>
      </c>
      <c r="E295" s="658" t="s">
        <v>3934</v>
      </c>
      <c r="F295" s="658" t="s">
        <v>3934</v>
      </c>
      <c r="G295" s="658" t="s">
        <v>3934</v>
      </c>
      <c r="H295" s="658" t="s">
        <v>3934</v>
      </c>
      <c r="I295" s="658" t="s">
        <v>3934</v>
      </c>
      <c r="J295" s="658" t="s">
        <v>3934</v>
      </c>
      <c r="K295" s="658" t="s">
        <v>3934</v>
      </c>
      <c r="L295" s="658" t="s">
        <v>3934</v>
      </c>
      <c r="M295" s="658" t="s">
        <v>3934</v>
      </c>
      <c r="N295" s="658" t="s">
        <v>3934</v>
      </c>
      <c r="O295"/>
    </row>
    <row r="296" spans="1:15" s="23" customFormat="1">
      <c r="A296" s="658" t="s">
        <v>4123</v>
      </c>
      <c r="B296" s="658" t="s">
        <v>4123</v>
      </c>
      <c r="C296" s="20" t="s">
        <v>4198</v>
      </c>
      <c r="D296" s="658" t="s">
        <v>4123</v>
      </c>
      <c r="E296" s="658" t="s">
        <v>4123</v>
      </c>
      <c r="F296" s="658" t="s">
        <v>4123</v>
      </c>
      <c r="G296" s="658" t="s">
        <v>4123</v>
      </c>
      <c r="H296" s="658" t="s">
        <v>4123</v>
      </c>
      <c r="I296" s="658" t="s">
        <v>4123</v>
      </c>
      <c r="J296" s="658" t="s">
        <v>4123</v>
      </c>
      <c r="K296" s="658" t="s">
        <v>4123</v>
      </c>
      <c r="L296" s="658" t="s">
        <v>4123</v>
      </c>
      <c r="M296" s="658" t="s">
        <v>4123</v>
      </c>
      <c r="N296" s="658" t="s">
        <v>4123</v>
      </c>
      <c r="O296"/>
    </row>
    <row r="297" spans="1:15" s="23" customFormat="1">
      <c r="A297" s="658" t="s">
        <v>3919</v>
      </c>
      <c r="B297" s="658" t="s">
        <v>3919</v>
      </c>
      <c r="C297" s="20" t="s">
        <v>4161</v>
      </c>
      <c r="D297" s="658" t="s">
        <v>3919</v>
      </c>
      <c r="E297" s="658" t="s">
        <v>3919</v>
      </c>
      <c r="F297" s="658" t="s">
        <v>3919</v>
      </c>
      <c r="G297" s="658" t="s">
        <v>3919</v>
      </c>
      <c r="H297" s="658" t="s">
        <v>3919</v>
      </c>
      <c r="I297" s="658" t="s">
        <v>3919</v>
      </c>
      <c r="J297" s="658" t="s">
        <v>3919</v>
      </c>
      <c r="K297" s="658" t="s">
        <v>3919</v>
      </c>
      <c r="L297" s="658" t="s">
        <v>3919</v>
      </c>
      <c r="M297" s="658" t="s">
        <v>3919</v>
      </c>
      <c r="N297" s="658" t="s">
        <v>3919</v>
      </c>
      <c r="O297"/>
    </row>
    <row r="298" spans="1:15" s="23" customFormat="1">
      <c r="A298" s="658" t="s">
        <v>3920</v>
      </c>
      <c r="B298" s="658" t="s">
        <v>3920</v>
      </c>
      <c r="C298" s="20" t="s">
        <v>4162</v>
      </c>
      <c r="D298" s="658" t="s">
        <v>3920</v>
      </c>
      <c r="E298" s="658" t="s">
        <v>3920</v>
      </c>
      <c r="F298" s="658" t="s">
        <v>3920</v>
      </c>
      <c r="G298" s="658" t="s">
        <v>3920</v>
      </c>
      <c r="H298" s="658" t="s">
        <v>3920</v>
      </c>
      <c r="I298" s="658" t="s">
        <v>3920</v>
      </c>
      <c r="J298" s="658" t="s">
        <v>3920</v>
      </c>
      <c r="K298" s="658" t="s">
        <v>3920</v>
      </c>
      <c r="L298" s="658" t="s">
        <v>3920</v>
      </c>
      <c r="M298" s="658" t="s">
        <v>3920</v>
      </c>
      <c r="N298" s="658" t="s">
        <v>3920</v>
      </c>
      <c r="O298"/>
    </row>
    <row r="299" spans="1:15" s="20" customFormat="1">
      <c r="A299" s="658" t="s">
        <v>3921</v>
      </c>
      <c r="B299" s="658" t="s">
        <v>3921</v>
      </c>
      <c r="C299" s="20" t="s">
        <v>4163</v>
      </c>
      <c r="D299" s="658" t="s">
        <v>3921</v>
      </c>
      <c r="E299" s="658" t="s">
        <v>3921</v>
      </c>
      <c r="F299" s="658" t="s">
        <v>3921</v>
      </c>
      <c r="G299" s="658" t="s">
        <v>3921</v>
      </c>
      <c r="H299" s="658" t="s">
        <v>3921</v>
      </c>
      <c r="I299" s="658" t="s">
        <v>3921</v>
      </c>
      <c r="J299" s="658" t="s">
        <v>3921</v>
      </c>
      <c r="K299" s="658" t="s">
        <v>3921</v>
      </c>
      <c r="L299" s="658" t="s">
        <v>3921</v>
      </c>
      <c r="M299" s="658" t="s">
        <v>3921</v>
      </c>
      <c r="N299" s="658" t="s">
        <v>3921</v>
      </c>
      <c r="O299"/>
    </row>
    <row r="300" spans="1:15" s="20" customFormat="1">
      <c r="A300" s="658" t="s">
        <v>3918</v>
      </c>
      <c r="B300" s="658" t="s">
        <v>3918</v>
      </c>
      <c r="C300" s="20" t="s">
        <v>4160</v>
      </c>
      <c r="D300" s="658" t="s">
        <v>3918</v>
      </c>
      <c r="E300" s="658" t="s">
        <v>3918</v>
      </c>
      <c r="F300" s="658" t="s">
        <v>3918</v>
      </c>
      <c r="G300" s="658" t="s">
        <v>3918</v>
      </c>
      <c r="H300" s="658" t="s">
        <v>3918</v>
      </c>
      <c r="I300" s="658" t="s">
        <v>3918</v>
      </c>
      <c r="J300" s="658" t="s">
        <v>3918</v>
      </c>
      <c r="K300" s="658" t="s">
        <v>3918</v>
      </c>
      <c r="L300" s="658" t="s">
        <v>3918</v>
      </c>
      <c r="M300" s="658" t="s">
        <v>3918</v>
      </c>
      <c r="N300" s="658" t="s">
        <v>3918</v>
      </c>
      <c r="O300"/>
    </row>
    <row r="301" spans="1:15" s="20" customFormat="1">
      <c r="A301" s="658" t="s">
        <v>4119</v>
      </c>
      <c r="B301" s="658" t="s">
        <v>4119</v>
      </c>
      <c r="C301" s="20" t="s">
        <v>4194</v>
      </c>
      <c r="D301" s="658" t="s">
        <v>4119</v>
      </c>
      <c r="E301" s="658" t="s">
        <v>4119</v>
      </c>
      <c r="F301" s="658" t="s">
        <v>4119</v>
      </c>
      <c r="G301" s="658" t="s">
        <v>4119</v>
      </c>
      <c r="H301" s="658" t="s">
        <v>4119</v>
      </c>
      <c r="I301" s="658" t="s">
        <v>4119</v>
      </c>
      <c r="J301" s="658" t="s">
        <v>4119</v>
      </c>
      <c r="K301" s="658" t="s">
        <v>4119</v>
      </c>
      <c r="L301" s="658" t="s">
        <v>4119</v>
      </c>
      <c r="M301" s="658" t="s">
        <v>4119</v>
      </c>
      <c r="N301" s="658" t="s">
        <v>4119</v>
      </c>
      <c r="O301"/>
    </row>
    <row r="302" spans="1:15" s="20" customFormat="1">
      <c r="A302" s="658" t="s">
        <v>3939</v>
      </c>
      <c r="B302" s="658" t="s">
        <v>3939</v>
      </c>
      <c r="C302" s="20" t="s">
        <v>4181</v>
      </c>
      <c r="D302" s="658" t="s">
        <v>3939</v>
      </c>
      <c r="E302" s="658" t="s">
        <v>3939</v>
      </c>
      <c r="F302" s="658" t="s">
        <v>3939</v>
      </c>
      <c r="G302" s="658" t="s">
        <v>3939</v>
      </c>
      <c r="H302" s="658" t="s">
        <v>3939</v>
      </c>
      <c r="I302" s="658" t="s">
        <v>3939</v>
      </c>
      <c r="J302" s="658" t="s">
        <v>3939</v>
      </c>
      <c r="K302" s="658" t="s">
        <v>3939</v>
      </c>
      <c r="L302" s="658" t="s">
        <v>3939</v>
      </c>
      <c r="M302" s="658" t="s">
        <v>3939</v>
      </c>
      <c r="N302" s="658" t="s">
        <v>3939</v>
      </c>
      <c r="O302"/>
    </row>
    <row r="303" spans="1:15" s="20" customFormat="1">
      <c r="A303" s="658" t="s">
        <v>3940</v>
      </c>
      <c r="B303" s="658" t="s">
        <v>3940</v>
      </c>
      <c r="C303" s="20" t="s">
        <v>4182</v>
      </c>
      <c r="D303" s="658" t="s">
        <v>3940</v>
      </c>
      <c r="E303" s="658" t="s">
        <v>3940</v>
      </c>
      <c r="F303" s="658" t="s">
        <v>3940</v>
      </c>
      <c r="G303" s="658" t="s">
        <v>3940</v>
      </c>
      <c r="H303" s="658" t="s">
        <v>3940</v>
      </c>
      <c r="I303" s="658" t="s">
        <v>3940</v>
      </c>
      <c r="J303" s="658" t="s">
        <v>3940</v>
      </c>
      <c r="K303" s="658" t="s">
        <v>3940</v>
      </c>
      <c r="L303" s="658" t="s">
        <v>3940</v>
      </c>
      <c r="M303" s="658" t="s">
        <v>3940</v>
      </c>
      <c r="N303" s="658" t="s">
        <v>3940</v>
      </c>
      <c r="O303"/>
    </row>
    <row r="304" spans="1:15" s="20" customFormat="1">
      <c r="A304" s="658" t="s">
        <v>3941</v>
      </c>
      <c r="B304" s="658" t="s">
        <v>3941</v>
      </c>
      <c r="C304" s="20" t="s">
        <v>4183</v>
      </c>
      <c r="D304" s="658" t="s">
        <v>3941</v>
      </c>
      <c r="E304" s="658" t="s">
        <v>3941</v>
      </c>
      <c r="F304" s="658" t="s">
        <v>3941</v>
      </c>
      <c r="G304" s="658" t="s">
        <v>3941</v>
      </c>
      <c r="H304" s="658" t="s">
        <v>3941</v>
      </c>
      <c r="I304" s="658" t="s">
        <v>3941</v>
      </c>
      <c r="J304" s="658" t="s">
        <v>3941</v>
      </c>
      <c r="K304" s="658" t="s">
        <v>3941</v>
      </c>
      <c r="L304" s="658" t="s">
        <v>3941</v>
      </c>
      <c r="M304" s="658" t="s">
        <v>3941</v>
      </c>
      <c r="N304" s="658" t="s">
        <v>3941</v>
      </c>
      <c r="O304"/>
    </row>
    <row r="305" spans="1:15" s="20" customFormat="1">
      <c r="A305" s="658" t="s">
        <v>3938</v>
      </c>
      <c r="B305" s="658" t="s">
        <v>3938</v>
      </c>
      <c r="C305" s="20" t="s">
        <v>4180</v>
      </c>
      <c r="D305" s="658" t="s">
        <v>3938</v>
      </c>
      <c r="E305" s="658" t="s">
        <v>3938</v>
      </c>
      <c r="F305" s="658" t="s">
        <v>3938</v>
      </c>
      <c r="G305" s="658" t="s">
        <v>3938</v>
      </c>
      <c r="H305" s="658" t="s">
        <v>3938</v>
      </c>
      <c r="I305" s="658" t="s">
        <v>3938</v>
      </c>
      <c r="J305" s="658" t="s">
        <v>3938</v>
      </c>
      <c r="K305" s="658" t="s">
        <v>3938</v>
      </c>
      <c r="L305" s="658" t="s">
        <v>3938</v>
      </c>
      <c r="M305" s="658" t="s">
        <v>3938</v>
      </c>
      <c r="N305" s="658" t="s">
        <v>3938</v>
      </c>
      <c r="O305"/>
    </row>
    <row r="306" spans="1:15" s="20" customFormat="1">
      <c r="A306" s="658" t="s">
        <v>4124</v>
      </c>
      <c r="B306" s="658" t="s">
        <v>4124</v>
      </c>
      <c r="C306" s="20" t="s">
        <v>4199</v>
      </c>
      <c r="D306" s="658" t="s">
        <v>4124</v>
      </c>
      <c r="E306" s="658" t="s">
        <v>4124</v>
      </c>
      <c r="F306" s="658" t="s">
        <v>4124</v>
      </c>
      <c r="G306" s="658" t="s">
        <v>4124</v>
      </c>
      <c r="H306" s="658" t="s">
        <v>4124</v>
      </c>
      <c r="I306" s="658" t="s">
        <v>4124</v>
      </c>
      <c r="J306" s="658" t="s">
        <v>4124</v>
      </c>
      <c r="K306" s="658" t="s">
        <v>4124</v>
      </c>
      <c r="L306" s="658" t="s">
        <v>4124</v>
      </c>
      <c r="M306" s="658" t="s">
        <v>4124</v>
      </c>
      <c r="N306" s="658" t="s">
        <v>4124</v>
      </c>
      <c r="O306"/>
    </row>
    <row r="307" spans="1:15" s="20" customFormat="1">
      <c r="A307" s="658" t="s">
        <v>3923</v>
      </c>
      <c r="B307" s="658" t="s">
        <v>3923</v>
      </c>
      <c r="C307" s="20" t="s">
        <v>4165</v>
      </c>
      <c r="D307" s="658" t="s">
        <v>3923</v>
      </c>
      <c r="E307" s="658" t="s">
        <v>3923</v>
      </c>
      <c r="F307" s="658" t="s">
        <v>3923</v>
      </c>
      <c r="G307" s="658" t="s">
        <v>3923</v>
      </c>
      <c r="H307" s="658" t="s">
        <v>3923</v>
      </c>
      <c r="I307" s="658" t="s">
        <v>3923</v>
      </c>
      <c r="J307" s="658" t="s">
        <v>3923</v>
      </c>
      <c r="K307" s="658" t="s">
        <v>3923</v>
      </c>
      <c r="L307" s="658" t="s">
        <v>3923</v>
      </c>
      <c r="M307" s="658" t="s">
        <v>3923</v>
      </c>
      <c r="N307" s="658" t="s">
        <v>3923</v>
      </c>
      <c r="O307"/>
    </row>
    <row r="308" spans="1:15">
      <c r="A308" s="658" t="s">
        <v>3924</v>
      </c>
      <c r="B308" s="658" t="s">
        <v>3924</v>
      </c>
      <c r="C308" s="20" t="s">
        <v>4166</v>
      </c>
      <c r="D308" s="658" t="s">
        <v>3924</v>
      </c>
      <c r="E308" s="658" t="s">
        <v>3924</v>
      </c>
      <c r="F308" s="658" t="s">
        <v>3924</v>
      </c>
      <c r="G308" s="658" t="s">
        <v>3924</v>
      </c>
      <c r="H308" s="658" t="s">
        <v>3924</v>
      </c>
      <c r="I308" s="658" t="s">
        <v>3924</v>
      </c>
      <c r="J308" s="658" t="s">
        <v>3924</v>
      </c>
      <c r="K308" s="658" t="s">
        <v>3924</v>
      </c>
      <c r="L308" s="658" t="s">
        <v>3924</v>
      </c>
      <c r="M308" s="658" t="s">
        <v>3924</v>
      </c>
      <c r="N308" s="658" t="s">
        <v>3924</v>
      </c>
    </row>
    <row r="309" spans="1:15">
      <c r="A309" s="658" t="s">
        <v>3925</v>
      </c>
      <c r="B309" s="658" t="s">
        <v>3925</v>
      </c>
      <c r="C309" s="20" t="s">
        <v>4167</v>
      </c>
      <c r="D309" s="658" t="s">
        <v>3925</v>
      </c>
      <c r="E309" s="658" t="s">
        <v>3925</v>
      </c>
      <c r="F309" s="658" t="s">
        <v>3925</v>
      </c>
      <c r="G309" s="658" t="s">
        <v>3925</v>
      </c>
      <c r="H309" s="658" t="s">
        <v>3925</v>
      </c>
      <c r="I309" s="658" t="s">
        <v>3925</v>
      </c>
      <c r="J309" s="658" t="s">
        <v>3925</v>
      </c>
      <c r="K309" s="658" t="s">
        <v>3925</v>
      </c>
      <c r="L309" s="658" t="s">
        <v>3925</v>
      </c>
      <c r="M309" s="658" t="s">
        <v>3925</v>
      </c>
      <c r="N309" s="658" t="s">
        <v>3925</v>
      </c>
    </row>
    <row r="310" spans="1:15">
      <c r="A310" s="658" t="s">
        <v>3922</v>
      </c>
      <c r="B310" s="658" t="s">
        <v>3922</v>
      </c>
      <c r="C310" s="20" t="s">
        <v>4164</v>
      </c>
      <c r="D310" s="658" t="s">
        <v>3922</v>
      </c>
      <c r="E310" s="658" t="s">
        <v>3922</v>
      </c>
      <c r="F310" s="658" t="s">
        <v>3922</v>
      </c>
      <c r="G310" s="658" t="s">
        <v>3922</v>
      </c>
      <c r="H310" s="658" t="s">
        <v>3922</v>
      </c>
      <c r="I310" s="658" t="s">
        <v>3922</v>
      </c>
      <c r="J310" s="658" t="s">
        <v>3922</v>
      </c>
      <c r="K310" s="658" t="s">
        <v>3922</v>
      </c>
      <c r="L310" s="658" t="s">
        <v>3922</v>
      </c>
      <c r="M310" s="658" t="s">
        <v>3922</v>
      </c>
      <c r="N310" s="658" t="s">
        <v>3922</v>
      </c>
    </row>
    <row r="311" spans="1:15">
      <c r="A311" s="658" t="s">
        <v>4120</v>
      </c>
      <c r="B311" s="658" t="s">
        <v>4120</v>
      </c>
      <c r="C311" s="20" t="s">
        <v>4195</v>
      </c>
      <c r="D311" s="658" t="s">
        <v>4120</v>
      </c>
      <c r="E311" s="658" t="s">
        <v>4120</v>
      </c>
      <c r="F311" s="658" t="s">
        <v>4120</v>
      </c>
      <c r="G311" s="658" t="s">
        <v>4120</v>
      </c>
      <c r="H311" s="658" t="s">
        <v>4120</v>
      </c>
      <c r="I311" s="658" t="s">
        <v>4120</v>
      </c>
      <c r="J311" s="658" t="s">
        <v>4120</v>
      </c>
      <c r="K311" s="658" t="s">
        <v>4120</v>
      </c>
      <c r="L311" s="658" t="s">
        <v>4120</v>
      </c>
      <c r="M311" s="658" t="s">
        <v>4120</v>
      </c>
      <c r="N311" s="658" t="s">
        <v>4120</v>
      </c>
    </row>
    <row r="312" spans="1:15">
      <c r="A312" s="658" t="s">
        <v>3943</v>
      </c>
      <c r="B312" s="658" t="s">
        <v>3943</v>
      </c>
      <c r="C312" s="20" t="s">
        <v>4185</v>
      </c>
      <c r="D312" s="658" t="s">
        <v>3943</v>
      </c>
      <c r="E312" s="658" t="s">
        <v>3943</v>
      </c>
      <c r="F312" s="658" t="s">
        <v>3943</v>
      </c>
      <c r="G312" s="658" t="s">
        <v>3943</v>
      </c>
      <c r="H312" s="658" t="s">
        <v>3943</v>
      </c>
      <c r="I312" s="658" t="s">
        <v>3943</v>
      </c>
      <c r="J312" s="658" t="s">
        <v>3943</v>
      </c>
      <c r="K312" s="658" t="s">
        <v>3943</v>
      </c>
      <c r="L312" s="658" t="s">
        <v>3943</v>
      </c>
      <c r="M312" s="658" t="s">
        <v>3943</v>
      </c>
      <c r="N312" s="658" t="s">
        <v>3943</v>
      </c>
    </row>
    <row r="313" spans="1:15">
      <c r="A313" s="658" t="s">
        <v>3944</v>
      </c>
      <c r="B313" s="658" t="s">
        <v>3944</v>
      </c>
      <c r="C313" s="20" t="s">
        <v>4186</v>
      </c>
      <c r="D313" s="658" t="s">
        <v>3944</v>
      </c>
      <c r="E313" s="658" t="s">
        <v>3944</v>
      </c>
      <c r="F313" s="658" t="s">
        <v>3944</v>
      </c>
      <c r="G313" s="658" t="s">
        <v>3944</v>
      </c>
      <c r="H313" s="658" t="s">
        <v>3944</v>
      </c>
      <c r="I313" s="658" t="s">
        <v>3944</v>
      </c>
      <c r="J313" s="658" t="s">
        <v>3944</v>
      </c>
      <c r="K313" s="658" t="s">
        <v>3944</v>
      </c>
      <c r="L313" s="658" t="s">
        <v>3944</v>
      </c>
      <c r="M313" s="658" t="s">
        <v>3944</v>
      </c>
      <c r="N313" s="658" t="s">
        <v>3944</v>
      </c>
    </row>
    <row r="314" spans="1:15">
      <c r="A314" s="658" t="s">
        <v>3945</v>
      </c>
      <c r="B314" s="658" t="s">
        <v>3945</v>
      </c>
      <c r="C314" s="20" t="s">
        <v>4187</v>
      </c>
      <c r="D314" s="658" t="s">
        <v>3945</v>
      </c>
      <c r="E314" s="658" t="s">
        <v>3945</v>
      </c>
      <c r="F314" s="658" t="s">
        <v>3945</v>
      </c>
      <c r="G314" s="658" t="s">
        <v>3945</v>
      </c>
      <c r="H314" s="658" t="s">
        <v>3945</v>
      </c>
      <c r="I314" s="658" t="s">
        <v>3945</v>
      </c>
      <c r="J314" s="658" t="s">
        <v>3945</v>
      </c>
      <c r="K314" s="658" t="s">
        <v>3945</v>
      </c>
      <c r="L314" s="658" t="s">
        <v>3945</v>
      </c>
      <c r="M314" s="658" t="s">
        <v>3945</v>
      </c>
      <c r="N314" s="658" t="s">
        <v>3945</v>
      </c>
    </row>
    <row r="315" spans="1:15">
      <c r="A315" s="658" t="s">
        <v>3942</v>
      </c>
      <c r="B315" s="658" t="s">
        <v>3942</v>
      </c>
      <c r="C315" s="20" t="s">
        <v>4184</v>
      </c>
      <c r="D315" s="658" t="s">
        <v>3942</v>
      </c>
      <c r="E315" s="658" t="s">
        <v>3942</v>
      </c>
      <c r="F315" s="658" t="s">
        <v>3942</v>
      </c>
      <c r="G315" s="658" t="s">
        <v>3942</v>
      </c>
      <c r="H315" s="658" t="s">
        <v>3942</v>
      </c>
      <c r="I315" s="658" t="s">
        <v>3942</v>
      </c>
      <c r="J315" s="658" t="s">
        <v>3942</v>
      </c>
      <c r="K315" s="658" t="s">
        <v>3942</v>
      </c>
      <c r="L315" s="658" t="s">
        <v>3942</v>
      </c>
      <c r="M315" s="658" t="s">
        <v>3942</v>
      </c>
      <c r="N315" s="658" t="s">
        <v>3942</v>
      </c>
    </row>
    <row r="316" spans="1:15">
      <c r="A316" s="658" t="s">
        <v>4125</v>
      </c>
      <c r="B316" s="658" t="s">
        <v>4125</v>
      </c>
      <c r="C316" s="20" t="s">
        <v>4200</v>
      </c>
      <c r="D316" s="658" t="s">
        <v>4125</v>
      </c>
      <c r="E316" s="658" t="s">
        <v>4125</v>
      </c>
      <c r="F316" s="658" t="s">
        <v>4125</v>
      </c>
      <c r="G316" s="658" t="s">
        <v>4125</v>
      </c>
      <c r="H316" s="658" t="s">
        <v>4125</v>
      </c>
      <c r="I316" s="658" t="s">
        <v>4125</v>
      </c>
      <c r="J316" s="658" t="s">
        <v>4125</v>
      </c>
      <c r="K316" s="658" t="s">
        <v>4125</v>
      </c>
      <c r="L316" s="658" t="s">
        <v>4125</v>
      </c>
      <c r="M316" s="658" t="s">
        <v>4125</v>
      </c>
      <c r="N316" s="658" t="s">
        <v>4125</v>
      </c>
    </row>
    <row r="317" spans="1:15">
      <c r="A317" s="658" t="s">
        <v>3927</v>
      </c>
      <c r="B317" s="658" t="s">
        <v>3927</v>
      </c>
      <c r="C317" s="20" t="s">
        <v>4169</v>
      </c>
      <c r="D317" s="658" t="s">
        <v>3927</v>
      </c>
      <c r="E317" s="658" t="s">
        <v>3927</v>
      </c>
      <c r="F317" s="658" t="s">
        <v>3927</v>
      </c>
      <c r="G317" s="658" t="s">
        <v>3927</v>
      </c>
      <c r="H317" s="658" t="s">
        <v>3927</v>
      </c>
      <c r="I317" s="658" t="s">
        <v>3927</v>
      </c>
      <c r="J317" s="658" t="s">
        <v>3927</v>
      </c>
      <c r="K317" s="658" t="s">
        <v>3927</v>
      </c>
      <c r="L317" s="658" t="s">
        <v>3927</v>
      </c>
      <c r="M317" s="658" t="s">
        <v>3927</v>
      </c>
      <c r="N317" s="658" t="s">
        <v>3927</v>
      </c>
    </row>
    <row r="318" spans="1:15">
      <c r="A318" s="658" t="s">
        <v>3928</v>
      </c>
      <c r="B318" s="658" t="s">
        <v>3928</v>
      </c>
      <c r="C318" s="20" t="s">
        <v>4170</v>
      </c>
      <c r="D318" s="658" t="s">
        <v>3928</v>
      </c>
      <c r="E318" s="658" t="s">
        <v>3928</v>
      </c>
      <c r="F318" s="658" t="s">
        <v>3928</v>
      </c>
      <c r="G318" s="658" t="s">
        <v>3928</v>
      </c>
      <c r="H318" s="658" t="s">
        <v>3928</v>
      </c>
      <c r="I318" s="658" t="s">
        <v>3928</v>
      </c>
      <c r="J318" s="658" t="s">
        <v>3928</v>
      </c>
      <c r="K318" s="658" t="s">
        <v>3928</v>
      </c>
      <c r="L318" s="658" t="s">
        <v>3928</v>
      </c>
      <c r="M318" s="658" t="s">
        <v>3928</v>
      </c>
      <c r="N318" s="658" t="s">
        <v>3928</v>
      </c>
    </row>
    <row r="319" spans="1:15">
      <c r="A319" s="658" t="s">
        <v>3929</v>
      </c>
      <c r="B319" s="658" t="s">
        <v>3929</v>
      </c>
      <c r="C319" s="20" t="s">
        <v>4171</v>
      </c>
      <c r="D319" s="658" t="s">
        <v>3929</v>
      </c>
      <c r="E319" s="658" t="s">
        <v>3929</v>
      </c>
      <c r="F319" s="658" t="s">
        <v>3929</v>
      </c>
      <c r="G319" s="658" t="s">
        <v>3929</v>
      </c>
      <c r="H319" s="658" t="s">
        <v>3929</v>
      </c>
      <c r="I319" s="658" t="s">
        <v>3929</v>
      </c>
      <c r="J319" s="658" t="s">
        <v>3929</v>
      </c>
      <c r="K319" s="658" t="s">
        <v>3929</v>
      </c>
      <c r="L319" s="658" t="s">
        <v>3929</v>
      </c>
      <c r="M319" s="658" t="s">
        <v>3929</v>
      </c>
      <c r="N319" s="658" t="s">
        <v>3929</v>
      </c>
    </row>
    <row r="320" spans="1:15">
      <c r="A320" s="658" t="s">
        <v>3926</v>
      </c>
      <c r="B320" s="658" t="s">
        <v>3926</v>
      </c>
      <c r="C320" s="20" t="s">
        <v>4168</v>
      </c>
      <c r="D320" s="658" t="s">
        <v>3926</v>
      </c>
      <c r="E320" s="658" t="s">
        <v>3926</v>
      </c>
      <c r="F320" s="658" t="s">
        <v>3926</v>
      </c>
      <c r="G320" s="658" t="s">
        <v>3926</v>
      </c>
      <c r="H320" s="658" t="s">
        <v>3926</v>
      </c>
      <c r="I320" s="658" t="s">
        <v>3926</v>
      </c>
      <c r="J320" s="658" t="s">
        <v>3926</v>
      </c>
      <c r="K320" s="658" t="s">
        <v>3926</v>
      </c>
      <c r="L320" s="658" t="s">
        <v>3926</v>
      </c>
      <c r="M320" s="658" t="s">
        <v>3926</v>
      </c>
      <c r="N320" s="658" t="s">
        <v>3926</v>
      </c>
    </row>
    <row r="321" spans="1:15">
      <c r="A321" s="658" t="s">
        <v>4121</v>
      </c>
      <c r="B321" s="658" t="s">
        <v>4121</v>
      </c>
      <c r="C321" s="20" t="s">
        <v>4196</v>
      </c>
      <c r="D321" s="658" t="s">
        <v>4121</v>
      </c>
      <c r="E321" s="658" t="s">
        <v>4121</v>
      </c>
      <c r="F321" s="658" t="s">
        <v>4121</v>
      </c>
      <c r="G321" s="658" t="s">
        <v>4121</v>
      </c>
      <c r="H321" s="658" t="s">
        <v>4121</v>
      </c>
      <c r="I321" s="658" t="s">
        <v>4121</v>
      </c>
      <c r="J321" s="658" t="s">
        <v>4121</v>
      </c>
      <c r="K321" s="658" t="s">
        <v>4121</v>
      </c>
      <c r="L321" s="658" t="s">
        <v>4121</v>
      </c>
      <c r="M321" s="658" t="s">
        <v>4121</v>
      </c>
      <c r="N321" s="658" t="s">
        <v>4121</v>
      </c>
    </row>
    <row r="322" spans="1:15">
      <c r="A322" s="658" t="s">
        <v>3947</v>
      </c>
      <c r="B322" s="658" t="s">
        <v>3947</v>
      </c>
      <c r="C322" s="20" t="s">
        <v>4189</v>
      </c>
      <c r="D322" s="658" t="s">
        <v>3947</v>
      </c>
      <c r="E322" s="658" t="s">
        <v>3947</v>
      </c>
      <c r="F322" s="658" t="s">
        <v>3947</v>
      </c>
      <c r="G322" s="658" t="s">
        <v>3947</v>
      </c>
      <c r="H322" s="658" t="s">
        <v>3947</v>
      </c>
      <c r="I322" s="658" t="s">
        <v>3947</v>
      </c>
      <c r="J322" s="658" t="s">
        <v>3947</v>
      </c>
      <c r="K322" s="658" t="s">
        <v>3947</v>
      </c>
      <c r="L322" s="658" t="s">
        <v>3947</v>
      </c>
      <c r="M322" s="658" t="s">
        <v>3947</v>
      </c>
      <c r="N322" s="658" t="s">
        <v>3947</v>
      </c>
    </row>
    <row r="323" spans="1:15">
      <c r="A323" s="658" t="s">
        <v>3948</v>
      </c>
      <c r="B323" s="658" t="s">
        <v>3948</v>
      </c>
      <c r="C323" s="20" t="s">
        <v>4190</v>
      </c>
      <c r="D323" s="658" t="s">
        <v>3948</v>
      </c>
      <c r="E323" s="658" t="s">
        <v>3948</v>
      </c>
      <c r="F323" s="658" t="s">
        <v>3948</v>
      </c>
      <c r="G323" s="658" t="s">
        <v>3948</v>
      </c>
      <c r="H323" s="658" t="s">
        <v>3948</v>
      </c>
      <c r="I323" s="658" t="s">
        <v>3948</v>
      </c>
      <c r="J323" s="658" t="s">
        <v>3948</v>
      </c>
      <c r="K323" s="658" t="s">
        <v>3948</v>
      </c>
      <c r="L323" s="658" t="s">
        <v>3948</v>
      </c>
      <c r="M323" s="658" t="s">
        <v>3948</v>
      </c>
      <c r="N323" s="658" t="s">
        <v>3948</v>
      </c>
    </row>
    <row r="324" spans="1:15">
      <c r="A324" s="658" t="s">
        <v>3949</v>
      </c>
      <c r="B324" s="658" t="s">
        <v>3949</v>
      </c>
      <c r="C324" s="20" t="s">
        <v>4191</v>
      </c>
      <c r="D324" s="658" t="s">
        <v>3949</v>
      </c>
      <c r="E324" s="658" t="s">
        <v>3949</v>
      </c>
      <c r="F324" s="658" t="s">
        <v>3949</v>
      </c>
      <c r="G324" s="658" t="s">
        <v>3949</v>
      </c>
      <c r="H324" s="658" t="s">
        <v>3949</v>
      </c>
      <c r="I324" s="658" t="s">
        <v>3949</v>
      </c>
      <c r="J324" s="658" t="s">
        <v>3949</v>
      </c>
      <c r="K324" s="658" t="s">
        <v>3949</v>
      </c>
      <c r="L324" s="658" t="s">
        <v>3949</v>
      </c>
      <c r="M324" s="658" t="s">
        <v>3949</v>
      </c>
      <c r="N324" s="658" t="s">
        <v>3949</v>
      </c>
    </row>
    <row r="325" spans="1:15">
      <c r="A325" s="658" t="s">
        <v>3946</v>
      </c>
      <c r="B325" s="658" t="s">
        <v>3946</v>
      </c>
      <c r="C325" s="20" t="s">
        <v>4188</v>
      </c>
      <c r="D325" s="658" t="s">
        <v>3946</v>
      </c>
      <c r="E325" s="658" t="s">
        <v>3946</v>
      </c>
      <c r="F325" s="658" t="s">
        <v>3946</v>
      </c>
      <c r="G325" s="658" t="s">
        <v>3946</v>
      </c>
      <c r="H325" s="658" t="s">
        <v>3946</v>
      </c>
      <c r="I325" s="658" t="s">
        <v>3946</v>
      </c>
      <c r="J325" s="658" t="s">
        <v>3946</v>
      </c>
      <c r="K325" s="658" t="s">
        <v>3946</v>
      </c>
      <c r="L325" s="658" t="s">
        <v>3946</v>
      </c>
      <c r="M325" s="658" t="s">
        <v>3946</v>
      </c>
      <c r="N325" s="658" t="s">
        <v>3946</v>
      </c>
    </row>
    <row r="326" spans="1:15" ht="17.399999999999999">
      <c r="A326" s="20" t="s">
        <v>1589</v>
      </c>
      <c r="B326" s="20" t="s">
        <v>1590</v>
      </c>
      <c r="C326" s="768" t="s">
        <v>4313</v>
      </c>
      <c r="D326" s="20" t="s">
        <v>1591</v>
      </c>
      <c r="E326" s="768" t="s">
        <v>3182</v>
      </c>
      <c r="F326" s="768" t="s">
        <v>1592</v>
      </c>
      <c r="G326" s="768" t="s">
        <v>1593</v>
      </c>
      <c r="H326" s="20" t="s">
        <v>3182</v>
      </c>
      <c r="I326" s="20" t="s">
        <v>1594</v>
      </c>
      <c r="J326" s="20" t="s">
        <v>1595</v>
      </c>
      <c r="K326" s="20" t="s">
        <v>1596</v>
      </c>
      <c r="L326" s="770" t="s">
        <v>1597</v>
      </c>
      <c r="M326" s="20" t="s">
        <v>1597</v>
      </c>
      <c r="N326" s="20" t="s">
        <v>1598</v>
      </c>
      <c r="O326" s="23"/>
    </row>
    <row r="327" spans="1:15" ht="17.399999999999999">
      <c r="A327" s="20" t="s">
        <v>1599</v>
      </c>
      <c r="B327" s="20" t="s">
        <v>1600</v>
      </c>
      <c r="C327" s="768" t="s">
        <v>1601</v>
      </c>
      <c r="D327" s="20" t="s">
        <v>1602</v>
      </c>
      <c r="E327" s="768" t="s">
        <v>3183</v>
      </c>
      <c r="F327" s="768" t="s">
        <v>1603</v>
      </c>
      <c r="G327" s="768" t="s">
        <v>1604</v>
      </c>
      <c r="H327" s="20" t="s">
        <v>1610</v>
      </c>
      <c r="I327" s="20" t="s">
        <v>1605</v>
      </c>
      <c r="J327" s="20" t="s">
        <v>1606</v>
      </c>
      <c r="K327" s="20" t="s">
        <v>1607</v>
      </c>
      <c r="L327" s="770" t="s">
        <v>1608</v>
      </c>
      <c r="M327" s="20" t="s">
        <v>1609</v>
      </c>
      <c r="N327" s="20" t="s">
        <v>1610</v>
      </c>
      <c r="O327" s="23"/>
    </row>
    <row r="328" spans="1:15">
      <c r="A328" s="23" t="s">
        <v>2621</v>
      </c>
      <c r="B328" s="773" t="s">
        <v>2622</v>
      </c>
      <c r="C328" s="23" t="s">
        <v>2623</v>
      </c>
      <c r="D328" s="23" t="s">
        <v>3712</v>
      </c>
      <c r="E328" s="23" t="s">
        <v>3275</v>
      </c>
      <c r="F328" s="23" t="s">
        <v>2621</v>
      </c>
      <c r="G328" s="23" t="s">
        <v>2624</v>
      </c>
      <c r="H328" s="23" t="s">
        <v>3589</v>
      </c>
      <c r="I328" s="23" t="s">
        <v>2625</v>
      </c>
      <c r="J328" s="23" t="s">
        <v>2626</v>
      </c>
      <c r="K328" s="23" t="s">
        <v>2627</v>
      </c>
      <c r="L328" s="773" t="s">
        <v>2628</v>
      </c>
      <c r="M328" s="23" t="s">
        <v>2629</v>
      </c>
      <c r="N328" s="773" t="s">
        <v>2630</v>
      </c>
      <c r="O328" s="23"/>
    </row>
    <row r="329" spans="1:15" ht="17.399999999999999">
      <c r="A329" s="20" t="s">
        <v>1611</v>
      </c>
      <c r="B329" s="20" t="s">
        <v>1612</v>
      </c>
      <c r="C329" s="768" t="s">
        <v>4314</v>
      </c>
      <c r="D329" s="20" t="s">
        <v>1591</v>
      </c>
      <c r="E329" s="768" t="s">
        <v>3184</v>
      </c>
      <c r="F329" s="768" t="s">
        <v>1613</v>
      </c>
      <c r="G329" s="768" t="s">
        <v>1614</v>
      </c>
      <c r="H329" s="20" t="s">
        <v>3590</v>
      </c>
      <c r="I329" s="20" t="s">
        <v>1594</v>
      </c>
      <c r="J329" s="20" t="s">
        <v>1595</v>
      </c>
      <c r="K329" s="20" t="s">
        <v>1615</v>
      </c>
      <c r="L329" s="770" t="s">
        <v>1616</v>
      </c>
      <c r="M329" s="20" t="s">
        <v>1617</v>
      </c>
      <c r="N329" s="20" t="s">
        <v>1618</v>
      </c>
      <c r="O329" s="23"/>
    </row>
    <row r="330" spans="1:15">
      <c r="A330" s="23" t="s">
        <v>2631</v>
      </c>
      <c r="B330" s="773" t="s">
        <v>2632</v>
      </c>
      <c r="C330" s="23" t="s">
        <v>2633</v>
      </c>
      <c r="D330" s="23" t="s">
        <v>3713</v>
      </c>
      <c r="E330" s="23" t="s">
        <v>3276</v>
      </c>
      <c r="F330" s="23" t="s">
        <v>2631</v>
      </c>
      <c r="G330" s="23" t="s">
        <v>2634</v>
      </c>
      <c r="H330" s="23" t="s">
        <v>3591</v>
      </c>
      <c r="I330" s="23" t="s">
        <v>2635</v>
      </c>
      <c r="J330" s="23" t="s">
        <v>2636</v>
      </c>
      <c r="K330" s="23" t="s">
        <v>2637</v>
      </c>
      <c r="L330" s="773" t="s">
        <v>2638</v>
      </c>
      <c r="M330" s="23" t="s">
        <v>2639</v>
      </c>
      <c r="N330" s="773" t="s">
        <v>2640</v>
      </c>
      <c r="O330" s="23"/>
    </row>
    <row r="331" spans="1:15">
      <c r="A331" s="23" t="s">
        <v>2641</v>
      </c>
      <c r="B331" s="773" t="s">
        <v>2642</v>
      </c>
      <c r="C331" s="23" t="s">
        <v>2643</v>
      </c>
      <c r="D331" s="23" t="s">
        <v>3714</v>
      </c>
      <c r="E331" s="23" t="s">
        <v>3277</v>
      </c>
      <c r="F331" s="23" t="s">
        <v>2641</v>
      </c>
      <c r="G331" s="23" t="s">
        <v>2644</v>
      </c>
      <c r="H331" s="23" t="s">
        <v>3592</v>
      </c>
      <c r="I331" s="23" t="s">
        <v>2645</v>
      </c>
      <c r="J331" s="23" t="s">
        <v>2646</v>
      </c>
      <c r="K331" s="23" t="s">
        <v>2647</v>
      </c>
      <c r="L331" s="773" t="s">
        <v>2648</v>
      </c>
      <c r="M331" s="23" t="s">
        <v>2649</v>
      </c>
      <c r="N331" s="773" t="s">
        <v>2650</v>
      </c>
      <c r="O331" s="23"/>
    </row>
    <row r="332" spans="1:15">
      <c r="A332" s="23" t="s">
        <v>2651</v>
      </c>
      <c r="B332" s="773" t="s">
        <v>2652</v>
      </c>
      <c r="C332" s="23" t="s">
        <v>2653</v>
      </c>
      <c r="D332" s="23" t="s">
        <v>3715</v>
      </c>
      <c r="E332" s="23" t="s">
        <v>3278</v>
      </c>
      <c r="F332" s="23" t="s">
        <v>2651</v>
      </c>
      <c r="G332" s="23" t="s">
        <v>2654</v>
      </c>
      <c r="H332" s="23" t="s">
        <v>3593</v>
      </c>
      <c r="I332" s="23" t="s">
        <v>2655</v>
      </c>
      <c r="J332" s="23" t="s">
        <v>2656</v>
      </c>
      <c r="K332" s="23" t="s">
        <v>2657</v>
      </c>
      <c r="L332" s="773" t="s">
        <v>2658</v>
      </c>
      <c r="M332" s="23" t="s">
        <v>2659</v>
      </c>
      <c r="N332" s="773" t="s">
        <v>2660</v>
      </c>
      <c r="O332" s="23"/>
    </row>
    <row r="333" spans="1:15">
      <c r="A333" s="23" t="s">
        <v>2661</v>
      </c>
      <c r="B333" s="773" t="s">
        <v>2662</v>
      </c>
      <c r="C333" s="23" t="s">
        <v>2663</v>
      </c>
      <c r="D333" s="23" t="s">
        <v>3716</v>
      </c>
      <c r="E333" s="23" t="s">
        <v>3279</v>
      </c>
      <c r="F333" s="23" t="s">
        <v>2661</v>
      </c>
      <c r="G333" s="23" t="s">
        <v>2664</v>
      </c>
      <c r="H333" s="23" t="s">
        <v>3594</v>
      </c>
      <c r="I333" s="23" t="s">
        <v>2665</v>
      </c>
      <c r="J333" s="23" t="s">
        <v>2666</v>
      </c>
      <c r="K333" s="23" t="s">
        <v>2667</v>
      </c>
      <c r="L333" s="773" t="s">
        <v>2668</v>
      </c>
      <c r="M333" s="23" t="s">
        <v>2669</v>
      </c>
      <c r="N333" s="773" t="s">
        <v>2670</v>
      </c>
      <c r="O333" s="23"/>
    </row>
    <row r="334" spans="1:15" ht="17.399999999999999">
      <c r="A334" s="20" t="s">
        <v>1619</v>
      </c>
      <c r="B334" s="20" t="s">
        <v>1620</v>
      </c>
      <c r="C334" s="768" t="s">
        <v>4249</v>
      </c>
      <c r="D334" s="20" t="s">
        <v>1621</v>
      </c>
      <c r="E334" s="768" t="s">
        <v>3185</v>
      </c>
      <c r="F334" s="768" t="s">
        <v>1622</v>
      </c>
      <c r="G334" s="768" t="s">
        <v>1623</v>
      </c>
      <c r="H334" s="20" t="s">
        <v>3185</v>
      </c>
      <c r="I334" s="20" t="s">
        <v>1624</v>
      </c>
      <c r="J334" s="20" t="s">
        <v>1625</v>
      </c>
      <c r="K334" s="20" t="s">
        <v>1626</v>
      </c>
      <c r="L334" s="770" t="s">
        <v>1627</v>
      </c>
      <c r="M334" s="20" t="s">
        <v>1627</v>
      </c>
      <c r="N334" s="20" t="s">
        <v>1628</v>
      </c>
      <c r="O334" s="23"/>
    </row>
    <row r="335" spans="1:15" ht="17.399999999999999">
      <c r="A335" s="20" t="s">
        <v>1629</v>
      </c>
      <c r="B335" s="20" t="s">
        <v>1629</v>
      </c>
      <c r="C335" s="768" t="s">
        <v>1630</v>
      </c>
      <c r="D335" s="20" t="s">
        <v>1631</v>
      </c>
      <c r="E335" s="768" t="s">
        <v>3367</v>
      </c>
      <c r="F335" s="768" t="s">
        <v>1629</v>
      </c>
      <c r="G335" s="768" t="s">
        <v>1632</v>
      </c>
      <c r="H335" s="20" t="s">
        <v>3595</v>
      </c>
      <c r="I335" s="20" t="s">
        <v>1633</v>
      </c>
      <c r="J335" s="20" t="s">
        <v>1634</v>
      </c>
      <c r="K335" s="20" t="s">
        <v>1629</v>
      </c>
      <c r="L335" s="770" t="s">
        <v>1629</v>
      </c>
      <c r="M335" s="20" t="s">
        <v>1629</v>
      </c>
      <c r="N335" s="20" t="s">
        <v>1635</v>
      </c>
      <c r="O335" s="23"/>
    </row>
    <row r="336" spans="1:15" ht="17.399999999999999">
      <c r="A336" s="20" t="s">
        <v>3320</v>
      </c>
      <c r="B336" s="20" t="s">
        <v>3320</v>
      </c>
      <c r="C336" s="768" t="s">
        <v>3321</v>
      </c>
      <c r="D336" s="20" t="s">
        <v>3322</v>
      </c>
      <c r="E336" s="768" t="s">
        <v>3368</v>
      </c>
      <c r="F336" s="768" t="s">
        <v>3320</v>
      </c>
      <c r="G336" s="768" t="s">
        <v>3323</v>
      </c>
      <c r="H336" s="20" t="s">
        <v>3368</v>
      </c>
      <c r="I336" s="20" t="s">
        <v>3324</v>
      </c>
      <c r="J336" s="20" t="s">
        <v>3325</v>
      </c>
      <c r="K336" s="20" t="s">
        <v>3320</v>
      </c>
      <c r="L336" s="770" t="s">
        <v>3320</v>
      </c>
      <c r="M336" s="20" t="s">
        <v>3320</v>
      </c>
      <c r="N336" s="20" t="s">
        <v>3326</v>
      </c>
      <c r="O336" s="23"/>
    </row>
    <row r="337" spans="1:15" ht="17.399999999999999">
      <c r="A337" s="20" t="s">
        <v>1636</v>
      </c>
      <c r="B337" s="20" t="s">
        <v>1636</v>
      </c>
      <c r="C337" s="768" t="s">
        <v>1637</v>
      </c>
      <c r="D337" s="20" t="s">
        <v>1638</v>
      </c>
      <c r="E337" s="768" t="s">
        <v>3369</v>
      </c>
      <c r="F337" s="768" t="s">
        <v>1636</v>
      </c>
      <c r="G337" s="768" t="s">
        <v>1639</v>
      </c>
      <c r="H337" s="20" t="s">
        <v>3596</v>
      </c>
      <c r="I337" s="20" t="s">
        <v>1640</v>
      </c>
      <c r="J337" s="20" t="s">
        <v>1641</v>
      </c>
      <c r="K337" s="20" t="s">
        <v>1636</v>
      </c>
      <c r="L337" s="770" t="s">
        <v>1636</v>
      </c>
      <c r="M337" s="20" t="s">
        <v>1636</v>
      </c>
      <c r="N337" s="20" t="s">
        <v>1642</v>
      </c>
      <c r="O337" s="23"/>
    </row>
    <row r="338" spans="1:15" ht="17.399999999999999">
      <c r="A338" s="768" t="s">
        <v>1643</v>
      </c>
      <c r="B338" s="768" t="s">
        <v>1643</v>
      </c>
      <c r="C338" s="768" t="s">
        <v>1644</v>
      </c>
      <c r="D338" s="768" t="s">
        <v>1645</v>
      </c>
      <c r="E338" s="768" t="s">
        <v>3370</v>
      </c>
      <c r="F338" s="768" t="s">
        <v>1643</v>
      </c>
      <c r="G338" s="768" t="s">
        <v>1646</v>
      </c>
      <c r="H338" s="768" t="s">
        <v>3597</v>
      </c>
      <c r="I338" s="768" t="s">
        <v>1647</v>
      </c>
      <c r="J338" s="768" t="s">
        <v>1648</v>
      </c>
      <c r="K338" s="768" t="s">
        <v>1643</v>
      </c>
      <c r="L338" s="784" t="s">
        <v>1643</v>
      </c>
      <c r="M338" s="768" t="s">
        <v>1643</v>
      </c>
      <c r="N338" s="768" t="s">
        <v>1649</v>
      </c>
      <c r="O338" s="23"/>
    </row>
    <row r="339" spans="1:15" ht="17.399999999999999">
      <c r="A339" s="771" t="s">
        <v>2105</v>
      </c>
      <c r="B339" s="771" t="s">
        <v>2105</v>
      </c>
      <c r="C339" s="768" t="s">
        <v>2105</v>
      </c>
      <c r="D339" s="771" t="s">
        <v>2105</v>
      </c>
      <c r="E339" s="768" t="s">
        <v>2105</v>
      </c>
      <c r="F339" s="768" t="s">
        <v>2105</v>
      </c>
      <c r="G339" s="768" t="s">
        <v>2105</v>
      </c>
      <c r="H339" s="771" t="s">
        <v>3598</v>
      </c>
      <c r="I339" s="771" t="s">
        <v>2105</v>
      </c>
      <c r="J339" s="771" t="s">
        <v>2106</v>
      </c>
      <c r="K339" s="771" t="s">
        <v>2105</v>
      </c>
      <c r="L339" s="772" t="s">
        <v>2105</v>
      </c>
      <c r="M339" s="771" t="s">
        <v>2105</v>
      </c>
      <c r="N339" s="771" t="s">
        <v>2105</v>
      </c>
      <c r="O339" s="23"/>
    </row>
    <row r="340" spans="1:15">
      <c r="A340" s="23" t="s">
        <v>2671</v>
      </c>
      <c r="B340" s="773" t="s">
        <v>2672</v>
      </c>
      <c r="C340" s="23" t="s">
        <v>4315</v>
      </c>
      <c r="D340" s="23" t="s">
        <v>3717</v>
      </c>
      <c r="E340" s="23" t="s">
        <v>3280</v>
      </c>
      <c r="F340" s="23" t="s">
        <v>2671</v>
      </c>
      <c r="G340" s="23" t="s">
        <v>2673</v>
      </c>
      <c r="H340" s="23" t="s">
        <v>3599</v>
      </c>
      <c r="I340" s="23" t="s">
        <v>2674</v>
      </c>
      <c r="J340" s="23" t="s">
        <v>2675</v>
      </c>
      <c r="K340" s="23" t="s">
        <v>2676</v>
      </c>
      <c r="L340" s="773" t="s">
        <v>2677</v>
      </c>
      <c r="M340" s="23" t="s">
        <v>2678</v>
      </c>
      <c r="N340" s="773" t="s">
        <v>2679</v>
      </c>
      <c r="O340" s="23"/>
    </row>
    <row r="341" spans="1:15">
      <c r="A341" s="23" t="s">
        <v>2680</v>
      </c>
      <c r="B341" s="773" t="s">
        <v>2681</v>
      </c>
      <c r="C341" s="23" t="s">
        <v>2682</v>
      </c>
      <c r="D341" s="23" t="s">
        <v>3718</v>
      </c>
      <c r="E341" s="23" t="s">
        <v>3281</v>
      </c>
      <c r="F341" s="23" t="s">
        <v>2680</v>
      </c>
      <c r="G341" s="23" t="s">
        <v>2683</v>
      </c>
      <c r="H341" s="23" t="s">
        <v>3600</v>
      </c>
      <c r="I341" s="23" t="s">
        <v>2684</v>
      </c>
      <c r="J341" s="23" t="s">
        <v>2685</v>
      </c>
      <c r="K341" s="23" t="s">
        <v>2686</v>
      </c>
      <c r="L341" s="773" t="s">
        <v>2687</v>
      </c>
      <c r="M341" s="23" t="s">
        <v>2688</v>
      </c>
      <c r="N341" s="773" t="s">
        <v>2689</v>
      </c>
      <c r="O341" s="23"/>
    </row>
    <row r="342" spans="1:15">
      <c r="A342" s="23" t="s">
        <v>2690</v>
      </c>
      <c r="B342" s="773" t="s">
        <v>2691</v>
      </c>
      <c r="C342" s="23" t="s">
        <v>2692</v>
      </c>
      <c r="D342" s="23" t="s">
        <v>3719</v>
      </c>
      <c r="E342" s="23" t="s">
        <v>3282</v>
      </c>
      <c r="F342" s="23" t="s">
        <v>2690</v>
      </c>
      <c r="G342" s="23" t="s">
        <v>2693</v>
      </c>
      <c r="H342" s="23" t="s">
        <v>3601</v>
      </c>
      <c r="I342" s="23" t="s">
        <v>2694</v>
      </c>
      <c r="J342" s="23" t="s">
        <v>2695</v>
      </c>
      <c r="K342" s="23" t="s">
        <v>2696</v>
      </c>
      <c r="L342" s="773" t="s">
        <v>2697</v>
      </c>
      <c r="M342" s="23" t="s">
        <v>2698</v>
      </c>
      <c r="N342" s="773" t="s">
        <v>2699</v>
      </c>
      <c r="O342" s="23"/>
    </row>
    <row r="343" spans="1:15" ht="17.399999999999999">
      <c r="A343" s="20" t="s">
        <v>1650</v>
      </c>
      <c r="B343" s="20" t="s">
        <v>4341</v>
      </c>
      <c r="C343" s="768" t="s">
        <v>1651</v>
      </c>
      <c r="D343" s="20" t="s">
        <v>1652</v>
      </c>
      <c r="E343" s="768" t="s">
        <v>1650</v>
      </c>
      <c r="F343" s="768" t="s">
        <v>1650</v>
      </c>
      <c r="G343" s="768" t="s">
        <v>1650</v>
      </c>
      <c r="H343" s="20" t="s">
        <v>3602</v>
      </c>
      <c r="I343" s="20" t="s">
        <v>1653</v>
      </c>
      <c r="J343" s="20" t="s">
        <v>1654</v>
      </c>
      <c r="K343" s="20" t="s">
        <v>1650</v>
      </c>
      <c r="L343" s="770" t="s">
        <v>1650</v>
      </c>
      <c r="M343" s="20" t="s">
        <v>1650</v>
      </c>
      <c r="N343" s="20" t="s">
        <v>1650</v>
      </c>
      <c r="O343" s="23"/>
    </row>
    <row r="344" spans="1:15" ht="17.399999999999999">
      <c r="A344" s="20" t="s">
        <v>1655</v>
      </c>
      <c r="B344" s="20" t="s">
        <v>1656</v>
      </c>
      <c r="C344" s="768" t="s">
        <v>4148</v>
      </c>
      <c r="D344" s="20" t="s">
        <v>1657</v>
      </c>
      <c r="E344" s="768" t="s">
        <v>3186</v>
      </c>
      <c r="F344" s="768" t="s">
        <v>1658</v>
      </c>
      <c r="G344" s="768" t="s">
        <v>1659</v>
      </c>
      <c r="H344" s="20" t="s">
        <v>3603</v>
      </c>
      <c r="I344" s="20" t="s">
        <v>1660</v>
      </c>
      <c r="J344" s="20" t="s">
        <v>1661</v>
      </c>
      <c r="K344" s="20" t="s">
        <v>1662</v>
      </c>
      <c r="L344" s="770" t="s">
        <v>1663</v>
      </c>
      <c r="M344" s="20" t="s">
        <v>1664</v>
      </c>
      <c r="N344" s="20" t="s">
        <v>1665</v>
      </c>
      <c r="O344" s="23"/>
    </row>
    <row r="345" spans="1:15" ht="17.399999999999999">
      <c r="A345" s="20" t="s">
        <v>3769</v>
      </c>
      <c r="B345" s="20" t="s">
        <v>1656</v>
      </c>
      <c r="C345" s="768" t="s">
        <v>4148</v>
      </c>
      <c r="D345" s="20" t="s">
        <v>1657</v>
      </c>
      <c r="E345" s="768" t="s">
        <v>3186</v>
      </c>
      <c r="F345" s="768" t="s">
        <v>1658</v>
      </c>
      <c r="G345" s="768" t="s">
        <v>1659</v>
      </c>
      <c r="H345" s="20" t="s">
        <v>3603</v>
      </c>
      <c r="I345" s="20" t="s">
        <v>1660</v>
      </c>
      <c r="J345" s="20" t="s">
        <v>1661</v>
      </c>
      <c r="K345" s="20" t="s">
        <v>1662</v>
      </c>
      <c r="L345" s="770" t="s">
        <v>1663</v>
      </c>
      <c r="M345" s="20" t="s">
        <v>1664</v>
      </c>
      <c r="N345" s="20" t="s">
        <v>1665</v>
      </c>
      <c r="O345" s="23"/>
    </row>
    <row r="346" spans="1:15">
      <c r="A346" s="23" t="s">
        <v>2700</v>
      </c>
      <c r="B346" s="773" t="s">
        <v>2701</v>
      </c>
      <c r="C346" s="23" t="s">
        <v>4250</v>
      </c>
      <c r="D346" s="23" t="s">
        <v>3720</v>
      </c>
      <c r="E346" s="23" t="s">
        <v>3283</v>
      </c>
      <c r="F346" s="23" t="s">
        <v>2700</v>
      </c>
      <c r="G346" s="23" t="s">
        <v>2702</v>
      </c>
      <c r="H346" s="23" t="s">
        <v>3604</v>
      </c>
      <c r="I346" s="23" t="s">
        <v>2703</v>
      </c>
      <c r="J346" s="23" t="s">
        <v>2704</v>
      </c>
      <c r="K346" s="23" t="s">
        <v>1017</v>
      </c>
      <c r="L346" s="773" t="s">
        <v>2705</v>
      </c>
      <c r="M346" s="23" t="s">
        <v>2706</v>
      </c>
      <c r="N346" s="773" t="s">
        <v>2704</v>
      </c>
      <c r="O346" s="23"/>
    </row>
    <row r="347" spans="1:15" ht="17.399999999999999">
      <c r="A347" s="20" t="s">
        <v>1668</v>
      </c>
      <c r="B347" s="20" t="s">
        <v>1669</v>
      </c>
      <c r="C347" s="768" t="s">
        <v>1670</v>
      </c>
      <c r="D347" s="20" t="s">
        <v>1671</v>
      </c>
      <c r="E347" s="768" t="s">
        <v>3188</v>
      </c>
      <c r="F347" s="768" t="s">
        <v>1672</v>
      </c>
      <c r="G347" s="768" t="s">
        <v>1673</v>
      </c>
      <c r="H347" s="20" t="s">
        <v>3605</v>
      </c>
      <c r="I347" s="20" t="s">
        <v>1674</v>
      </c>
      <c r="J347" s="20" t="s">
        <v>1675</v>
      </c>
      <c r="K347" s="20" t="s">
        <v>1676</v>
      </c>
      <c r="L347" s="770" t="s">
        <v>1677</v>
      </c>
      <c r="M347" s="20" t="s">
        <v>1678</v>
      </c>
      <c r="N347" s="20" t="s">
        <v>1679</v>
      </c>
      <c r="O347" s="23"/>
    </row>
    <row r="348" spans="1:15" ht="17.399999999999999">
      <c r="A348" s="20" t="s">
        <v>1680</v>
      </c>
      <c r="B348" s="20" t="s">
        <v>1681</v>
      </c>
      <c r="C348" s="768" t="s">
        <v>1682</v>
      </c>
      <c r="D348" s="20" t="s">
        <v>1683</v>
      </c>
      <c r="E348" s="768" t="s">
        <v>3189</v>
      </c>
      <c r="F348" s="768" t="s">
        <v>1684</v>
      </c>
      <c r="G348" s="768" t="s">
        <v>1685</v>
      </c>
      <c r="H348" s="20" t="s">
        <v>3606</v>
      </c>
      <c r="I348" s="20" t="s">
        <v>1686</v>
      </c>
      <c r="J348" s="20" t="s">
        <v>1687</v>
      </c>
      <c r="K348" s="20" t="s">
        <v>1688</v>
      </c>
      <c r="L348" s="770" t="s">
        <v>1689</v>
      </c>
      <c r="M348" s="20" t="s">
        <v>1690</v>
      </c>
      <c r="N348" s="20" t="s">
        <v>1691</v>
      </c>
      <c r="O348" s="23"/>
    </row>
    <row r="349" spans="1:15" ht="34.799999999999997">
      <c r="A349" s="20" t="s">
        <v>3361</v>
      </c>
      <c r="B349" s="20" t="s">
        <v>1692</v>
      </c>
      <c r="C349" s="768" t="s">
        <v>1666</v>
      </c>
      <c r="D349" s="20" t="s">
        <v>1693</v>
      </c>
      <c r="E349" s="768" t="s">
        <v>3187</v>
      </c>
      <c r="F349" s="768" t="s">
        <v>1694</v>
      </c>
      <c r="G349" s="768" t="s">
        <v>1667</v>
      </c>
      <c r="H349" s="20" t="s">
        <v>3607</v>
      </c>
      <c r="I349" s="20" t="s">
        <v>1695</v>
      </c>
      <c r="J349" s="20" t="s">
        <v>1696</v>
      </c>
      <c r="K349" s="20" t="s">
        <v>1697</v>
      </c>
      <c r="L349" s="770" t="s">
        <v>1698</v>
      </c>
      <c r="M349" s="20" t="s">
        <v>1699</v>
      </c>
      <c r="N349" s="20" t="s">
        <v>1700</v>
      </c>
      <c r="O349" s="23"/>
    </row>
    <row r="350" spans="1:15" ht="17.399999999999999">
      <c r="A350" s="20" t="s">
        <v>3358</v>
      </c>
      <c r="B350" s="20" t="s">
        <v>1701</v>
      </c>
      <c r="C350" s="768" t="s">
        <v>1702</v>
      </c>
      <c r="D350" s="20" t="s">
        <v>1703</v>
      </c>
      <c r="E350" s="768" t="s">
        <v>3190</v>
      </c>
      <c r="F350" s="768" t="s">
        <v>1704</v>
      </c>
      <c r="G350" s="768" t="s">
        <v>1705</v>
      </c>
      <c r="H350" s="20" t="s">
        <v>3608</v>
      </c>
      <c r="I350" s="20" t="s">
        <v>1706</v>
      </c>
      <c r="J350" s="20" t="s">
        <v>1707</v>
      </c>
      <c r="K350" s="20" t="s">
        <v>1708</v>
      </c>
      <c r="L350" s="770" t="s">
        <v>1709</v>
      </c>
      <c r="M350" s="20" t="s">
        <v>1710</v>
      </c>
      <c r="N350" s="20" t="s">
        <v>1711</v>
      </c>
      <c r="O350" s="23"/>
    </row>
    <row r="351" spans="1:15" ht="17.399999999999999">
      <c r="A351" s="20" t="s">
        <v>1712</v>
      </c>
      <c r="B351" s="20" t="s">
        <v>1713</v>
      </c>
      <c r="C351" s="768" t="s">
        <v>1714</v>
      </c>
      <c r="D351" s="20" t="s">
        <v>1715</v>
      </c>
      <c r="E351" s="768" t="s">
        <v>3191</v>
      </c>
      <c r="F351" s="768" t="s">
        <v>1716</v>
      </c>
      <c r="G351" s="768" t="s">
        <v>1717</v>
      </c>
      <c r="H351" s="20" t="s">
        <v>3609</v>
      </c>
      <c r="I351" s="20" t="s">
        <v>1718</v>
      </c>
      <c r="J351" s="20" t="s">
        <v>1719</v>
      </c>
      <c r="K351" s="20" t="s">
        <v>1720</v>
      </c>
      <c r="L351" s="770" t="s">
        <v>1721</v>
      </c>
      <c r="M351" s="20" t="s">
        <v>1722</v>
      </c>
      <c r="N351" s="20" t="s">
        <v>1723</v>
      </c>
      <c r="O351" s="23"/>
    </row>
    <row r="352" spans="1:15" ht="17.399999999999999">
      <c r="A352" s="20" t="s">
        <v>3359</v>
      </c>
      <c r="B352" s="20" t="s">
        <v>1724</v>
      </c>
      <c r="C352" s="768" t="s">
        <v>1725</v>
      </c>
      <c r="D352" s="20" t="s">
        <v>1726</v>
      </c>
      <c r="E352" s="768" t="s">
        <v>3192</v>
      </c>
      <c r="F352" s="768" t="s">
        <v>1727</v>
      </c>
      <c r="G352" s="768" t="s">
        <v>1728</v>
      </c>
      <c r="H352" s="20" t="s">
        <v>3610</v>
      </c>
      <c r="I352" s="20" t="s">
        <v>1729</v>
      </c>
      <c r="J352" s="20" t="s">
        <v>1730</v>
      </c>
      <c r="K352" s="20" t="s">
        <v>1731</v>
      </c>
      <c r="L352" s="770" t="s">
        <v>1732</v>
      </c>
      <c r="M352" s="20" t="s">
        <v>1733</v>
      </c>
      <c r="N352" s="20" t="s">
        <v>1734</v>
      </c>
      <c r="O352" s="23"/>
    </row>
    <row r="353" spans="1:15" ht="17.399999999999999">
      <c r="A353" s="20" t="s">
        <v>1735</v>
      </c>
      <c r="B353" s="20" t="s">
        <v>1736</v>
      </c>
      <c r="C353" s="768" t="s">
        <v>1737</v>
      </c>
      <c r="D353" s="20" t="s">
        <v>1738</v>
      </c>
      <c r="E353" s="768" t="s">
        <v>3193</v>
      </c>
      <c r="F353" s="768" t="s">
        <v>1739</v>
      </c>
      <c r="G353" s="768" t="s">
        <v>1740</v>
      </c>
      <c r="H353" s="20" t="s">
        <v>3611</v>
      </c>
      <c r="I353" s="20" t="s">
        <v>1741</v>
      </c>
      <c r="J353" s="20" t="s">
        <v>1742</v>
      </c>
      <c r="K353" s="20" t="s">
        <v>1743</v>
      </c>
      <c r="L353" s="770" t="s">
        <v>1744</v>
      </c>
      <c r="M353" s="20" t="s">
        <v>1745</v>
      </c>
      <c r="N353" s="20" t="s">
        <v>1746</v>
      </c>
      <c r="O353" s="23"/>
    </row>
    <row r="354" spans="1:15" ht="17.399999999999999">
      <c r="A354" s="20" t="s">
        <v>3360</v>
      </c>
      <c r="B354" s="20" t="s">
        <v>1747</v>
      </c>
      <c r="C354" s="768" t="s">
        <v>1748</v>
      </c>
      <c r="D354" s="20" t="s">
        <v>1749</v>
      </c>
      <c r="E354" s="768" t="s">
        <v>3194</v>
      </c>
      <c r="F354" s="768" t="s">
        <v>1750</v>
      </c>
      <c r="G354" s="768" t="s">
        <v>1751</v>
      </c>
      <c r="H354" s="20" t="s">
        <v>3612</v>
      </c>
      <c r="I354" s="20" t="s">
        <v>1752</v>
      </c>
      <c r="J354" s="20" t="s">
        <v>1753</v>
      </c>
      <c r="K354" s="20" t="s">
        <v>1754</v>
      </c>
      <c r="L354" s="770" t="s">
        <v>1755</v>
      </c>
      <c r="M354" s="20" t="s">
        <v>1756</v>
      </c>
      <c r="N354" s="20" t="s">
        <v>1757</v>
      </c>
      <c r="O354" s="23"/>
    </row>
    <row r="355" spans="1:15" ht="17.399999999999999">
      <c r="A355" s="767" t="s">
        <v>1758</v>
      </c>
      <c r="B355" s="767" t="s">
        <v>1759</v>
      </c>
      <c r="C355" s="768" t="s">
        <v>4251</v>
      </c>
      <c r="D355" s="767" t="s">
        <v>1760</v>
      </c>
      <c r="E355" s="768" t="s">
        <v>3195</v>
      </c>
      <c r="F355" s="768" t="s">
        <v>1758</v>
      </c>
      <c r="G355" s="768" t="s">
        <v>1761</v>
      </c>
      <c r="H355" s="767" t="s">
        <v>3613</v>
      </c>
      <c r="I355" s="767" t="s">
        <v>1762</v>
      </c>
      <c r="J355" s="767" t="s">
        <v>1763</v>
      </c>
      <c r="K355" s="20" t="s">
        <v>1764</v>
      </c>
      <c r="L355" s="769" t="s">
        <v>1765</v>
      </c>
      <c r="M355" s="767" t="s">
        <v>1766</v>
      </c>
      <c r="N355" s="767" t="s">
        <v>1767</v>
      </c>
      <c r="O355" s="23"/>
    </row>
    <row r="356" spans="1:15">
      <c r="A356" s="23" t="s">
        <v>2707</v>
      </c>
      <c r="B356" s="773" t="s">
        <v>2708</v>
      </c>
      <c r="C356" s="23" t="s">
        <v>4252</v>
      </c>
      <c r="D356" s="23" t="s">
        <v>3721</v>
      </c>
      <c r="E356" s="23" t="s">
        <v>3284</v>
      </c>
      <c r="F356" s="23" t="s">
        <v>2707</v>
      </c>
      <c r="G356" s="23" t="s">
        <v>2709</v>
      </c>
      <c r="H356" s="23" t="s">
        <v>3614</v>
      </c>
      <c r="I356" s="23" t="s">
        <v>2710</v>
      </c>
      <c r="J356" s="23" t="s">
        <v>2711</v>
      </c>
      <c r="K356" s="23" t="s">
        <v>2712</v>
      </c>
      <c r="L356" s="773" t="s">
        <v>2713</v>
      </c>
      <c r="M356" s="23" t="s">
        <v>2714</v>
      </c>
      <c r="N356" s="773" t="s">
        <v>2715</v>
      </c>
      <c r="O356" s="23"/>
    </row>
    <row r="357" spans="1:15">
      <c r="A357" s="23" t="s">
        <v>2716</v>
      </c>
      <c r="B357" s="773" t="s">
        <v>2716</v>
      </c>
      <c r="C357" s="23" t="s">
        <v>1516</v>
      </c>
      <c r="D357" s="23" t="s">
        <v>3722</v>
      </c>
      <c r="E357" s="23" t="s">
        <v>3285</v>
      </c>
      <c r="F357" s="23" t="s">
        <v>2716</v>
      </c>
      <c r="G357" s="23" t="s">
        <v>2717</v>
      </c>
      <c r="H357" s="23" t="s">
        <v>3615</v>
      </c>
      <c r="I357" s="23" t="s">
        <v>2718</v>
      </c>
      <c r="J357" s="23" t="s">
        <v>2719</v>
      </c>
      <c r="K357" s="23" t="s">
        <v>2716</v>
      </c>
      <c r="L357" s="773" t="s">
        <v>2716</v>
      </c>
      <c r="M357" s="23" t="s">
        <v>2720</v>
      </c>
      <c r="N357" s="773" t="s">
        <v>2721</v>
      </c>
      <c r="O357" s="23"/>
    </row>
    <row r="358" spans="1:15" ht="17.399999999999999">
      <c r="A358" s="20" t="s">
        <v>1768</v>
      </c>
      <c r="B358" s="20" t="s">
        <v>1769</v>
      </c>
      <c r="C358" s="768" t="s">
        <v>4316</v>
      </c>
      <c r="D358" s="20" t="s">
        <v>1770</v>
      </c>
      <c r="E358" s="768" t="s">
        <v>3196</v>
      </c>
      <c r="F358" s="768" t="s">
        <v>1771</v>
      </c>
      <c r="G358" s="768" t="s">
        <v>1772</v>
      </c>
      <c r="H358" s="20" t="s">
        <v>3616</v>
      </c>
      <c r="I358" s="20" t="s">
        <v>1773</v>
      </c>
      <c r="J358" s="20" t="s">
        <v>1774</v>
      </c>
      <c r="K358" s="20" t="s">
        <v>1775</v>
      </c>
      <c r="L358" s="770" t="s">
        <v>1776</v>
      </c>
      <c r="M358" s="20" t="s">
        <v>1777</v>
      </c>
      <c r="N358" s="20" t="s">
        <v>1778</v>
      </c>
      <c r="O358" s="23"/>
    </row>
    <row r="359" spans="1:15" ht="17.399999999999999">
      <c r="A359" s="767" t="s">
        <v>1779</v>
      </c>
      <c r="B359" s="767" t="s">
        <v>1780</v>
      </c>
      <c r="C359" s="768" t="s">
        <v>4253</v>
      </c>
      <c r="D359" s="767" t="s">
        <v>3723</v>
      </c>
      <c r="E359" s="768" t="s">
        <v>3332</v>
      </c>
      <c r="F359" s="768" t="s">
        <v>3197</v>
      </c>
      <c r="G359" s="768" t="s">
        <v>1781</v>
      </c>
      <c r="H359" s="767" t="s">
        <v>3617</v>
      </c>
      <c r="I359" s="767" t="s">
        <v>1782</v>
      </c>
      <c r="J359" s="767" t="s">
        <v>1783</v>
      </c>
      <c r="K359" s="767" t="s">
        <v>1784</v>
      </c>
      <c r="L359" s="769" t="s">
        <v>1785</v>
      </c>
      <c r="M359" s="767" t="s">
        <v>1786</v>
      </c>
      <c r="N359" s="767" t="s">
        <v>1787</v>
      </c>
      <c r="O359" s="23"/>
    </row>
    <row r="360" spans="1:15" ht="17.399999999999999">
      <c r="A360" s="20" t="s">
        <v>2042</v>
      </c>
      <c r="B360" s="20" t="s">
        <v>2043</v>
      </c>
      <c r="C360" s="768" t="s">
        <v>2044</v>
      </c>
      <c r="D360" s="20" t="s">
        <v>2045</v>
      </c>
      <c r="E360" s="768" t="s">
        <v>3221</v>
      </c>
      <c r="F360" s="768" t="s">
        <v>2046</v>
      </c>
      <c r="G360" s="768" t="s">
        <v>2047</v>
      </c>
      <c r="H360" s="20" t="s">
        <v>3618</v>
      </c>
      <c r="I360" s="20" t="s">
        <v>2048</v>
      </c>
      <c r="J360" s="20" t="s">
        <v>2049</v>
      </c>
      <c r="K360" s="20" t="s">
        <v>2050</v>
      </c>
      <c r="L360" s="770" t="s">
        <v>2051</v>
      </c>
      <c r="M360" s="20" t="s">
        <v>2052</v>
      </c>
      <c r="N360" s="20" t="s">
        <v>2053</v>
      </c>
      <c r="O360" s="23"/>
    </row>
    <row r="361" spans="1:15">
      <c r="A361" s="20" t="s">
        <v>2159</v>
      </c>
      <c r="B361" s="787" t="s">
        <v>2160</v>
      </c>
      <c r="C361" s="20" t="s">
        <v>4317</v>
      </c>
      <c r="D361" s="20" t="s">
        <v>3724</v>
      </c>
      <c r="E361" s="20" t="s">
        <v>3230</v>
      </c>
      <c r="F361" s="20" t="s">
        <v>2159</v>
      </c>
      <c r="G361" s="20" t="s">
        <v>2161</v>
      </c>
      <c r="H361" s="20" t="s">
        <v>3619</v>
      </c>
      <c r="I361" s="20" t="s">
        <v>2162</v>
      </c>
      <c r="J361" s="787" t="s">
        <v>2163</v>
      </c>
      <c r="K361" s="20" t="s">
        <v>2164</v>
      </c>
      <c r="L361" s="787" t="s">
        <v>2165</v>
      </c>
      <c r="M361" s="20" t="s">
        <v>2166</v>
      </c>
      <c r="N361" s="787" t="s">
        <v>2167</v>
      </c>
      <c r="O361" s="23"/>
    </row>
    <row r="362" spans="1:15" ht="17.399999999999999">
      <c r="A362" s="767" t="s">
        <v>3861</v>
      </c>
      <c r="B362" s="767" t="s">
        <v>1406</v>
      </c>
      <c r="C362" s="768" t="s">
        <v>4318</v>
      </c>
      <c r="D362" s="767" t="s">
        <v>1407</v>
      </c>
      <c r="E362" s="768" t="s">
        <v>3334</v>
      </c>
      <c r="F362" s="768" t="s">
        <v>1408</v>
      </c>
      <c r="G362" s="768" t="s">
        <v>1409</v>
      </c>
      <c r="H362" s="767" t="s">
        <v>3564</v>
      </c>
      <c r="I362" s="767" t="s">
        <v>1410</v>
      </c>
      <c r="J362" s="767" t="s">
        <v>1411</v>
      </c>
      <c r="K362" s="767" t="s">
        <v>1412</v>
      </c>
      <c r="L362" s="769" t="s">
        <v>1413</v>
      </c>
      <c r="M362" s="767" t="s">
        <v>1414</v>
      </c>
      <c r="N362" s="767" t="s">
        <v>1415</v>
      </c>
      <c r="O362" s="23"/>
    </row>
    <row r="363" spans="1:15" ht="19.8">
      <c r="A363" s="788" t="s">
        <v>2065</v>
      </c>
      <c r="B363" s="788" t="s">
        <v>2066</v>
      </c>
      <c r="C363" s="768" t="s">
        <v>2067</v>
      </c>
      <c r="D363" s="788" t="s">
        <v>2068</v>
      </c>
      <c r="E363" s="768" t="s">
        <v>3223</v>
      </c>
      <c r="F363" s="768" t="s">
        <v>2069</v>
      </c>
      <c r="G363" s="768" t="s">
        <v>2070</v>
      </c>
      <c r="H363" s="788" t="s">
        <v>3620</v>
      </c>
      <c r="I363" s="788" t="s">
        <v>2071</v>
      </c>
      <c r="J363" s="788" t="s">
        <v>2072</v>
      </c>
      <c r="K363" s="788" t="s">
        <v>2073</v>
      </c>
      <c r="L363" s="789" t="s">
        <v>2074</v>
      </c>
      <c r="M363" s="788" t="s">
        <v>2075</v>
      </c>
      <c r="N363" s="788" t="s">
        <v>2076</v>
      </c>
      <c r="O363" s="23"/>
    </row>
    <row r="364" spans="1:15" ht="17.399999999999999">
      <c r="A364" s="20" t="s">
        <v>3791</v>
      </c>
      <c r="B364" s="20" t="s">
        <v>3792</v>
      </c>
      <c r="C364" s="768" t="s">
        <v>4319</v>
      </c>
      <c r="D364" s="20" t="s">
        <v>3793</v>
      </c>
      <c r="E364" s="768" t="s">
        <v>3794</v>
      </c>
      <c r="F364" s="768" t="s">
        <v>3795</v>
      </c>
      <c r="G364" s="768" t="s">
        <v>3796</v>
      </c>
      <c r="H364" s="20" t="s">
        <v>3797</v>
      </c>
      <c r="I364" s="20" t="s">
        <v>3798</v>
      </c>
      <c r="J364" s="20" t="s">
        <v>3799</v>
      </c>
      <c r="K364" s="20" t="s">
        <v>3800</v>
      </c>
      <c r="L364" s="770" t="s">
        <v>3801</v>
      </c>
      <c r="M364" s="20" t="s">
        <v>3802</v>
      </c>
      <c r="N364" s="20" t="s">
        <v>3803</v>
      </c>
      <c r="O364" s="23"/>
    </row>
    <row r="365" spans="1:15" ht="17.399999999999999">
      <c r="A365" s="20" t="s">
        <v>1789</v>
      </c>
      <c r="B365" s="20" t="s">
        <v>1790</v>
      </c>
      <c r="C365" s="768" t="s">
        <v>4254</v>
      </c>
      <c r="D365" s="20" t="s">
        <v>1791</v>
      </c>
      <c r="E365" s="768" t="s">
        <v>3198</v>
      </c>
      <c r="F365" s="768" t="s">
        <v>1792</v>
      </c>
      <c r="G365" s="768" t="s">
        <v>1793</v>
      </c>
      <c r="H365" s="20" t="s">
        <v>3621</v>
      </c>
      <c r="I365" s="20" t="s">
        <v>1794</v>
      </c>
      <c r="J365" s="20" t="s">
        <v>1795</v>
      </c>
      <c r="K365" s="20" t="s">
        <v>1796</v>
      </c>
      <c r="L365" s="770" t="s">
        <v>1797</v>
      </c>
      <c r="M365" s="20" t="s">
        <v>1797</v>
      </c>
      <c r="N365" s="20" t="s">
        <v>1798</v>
      </c>
      <c r="O365" s="23"/>
    </row>
    <row r="366" spans="1:15">
      <c r="A366" s="658" t="s">
        <v>3862</v>
      </c>
      <c r="B366" s="658" t="s">
        <v>3862</v>
      </c>
      <c r="C366" s="20" t="s">
        <v>4320</v>
      </c>
      <c r="D366" s="658" t="s">
        <v>3862</v>
      </c>
      <c r="E366" s="658" t="s">
        <v>3862</v>
      </c>
      <c r="F366" s="658" t="s">
        <v>3862</v>
      </c>
      <c r="G366" s="658" t="s">
        <v>3862</v>
      </c>
      <c r="H366" s="658" t="s">
        <v>3862</v>
      </c>
      <c r="I366" s="658" t="s">
        <v>3862</v>
      </c>
      <c r="J366" s="658" t="s">
        <v>3862</v>
      </c>
      <c r="K366" s="658" t="s">
        <v>3862</v>
      </c>
      <c r="L366" s="658" t="s">
        <v>3862</v>
      </c>
      <c r="M366" s="658" t="s">
        <v>3862</v>
      </c>
      <c r="N366" s="658" t="s">
        <v>3862</v>
      </c>
    </row>
    <row r="367" spans="1:15" ht="17.399999999999999">
      <c r="A367" s="20" t="s">
        <v>1799</v>
      </c>
      <c r="B367" s="20" t="s">
        <v>1800</v>
      </c>
      <c r="C367" s="768" t="s">
        <v>4255</v>
      </c>
      <c r="D367" s="20" t="s">
        <v>1801</v>
      </c>
      <c r="E367" s="768" t="s">
        <v>3199</v>
      </c>
      <c r="F367" s="768" t="s">
        <v>1802</v>
      </c>
      <c r="G367" s="768" t="s">
        <v>1803</v>
      </c>
      <c r="H367" s="20" t="s">
        <v>3622</v>
      </c>
      <c r="I367" s="20" t="s">
        <v>1804</v>
      </c>
      <c r="J367" s="20" t="s">
        <v>1805</v>
      </c>
      <c r="K367" s="20" t="s">
        <v>1806</v>
      </c>
      <c r="L367" s="770" t="s">
        <v>1800</v>
      </c>
      <c r="M367" s="20" t="s">
        <v>1800</v>
      </c>
      <c r="N367" s="20" t="s">
        <v>1807</v>
      </c>
      <c r="O367" s="23"/>
    </row>
    <row r="368" spans="1:15" s="23" customFormat="1" ht="17.399999999999999">
      <c r="A368" s="658" t="s">
        <v>4367</v>
      </c>
      <c r="B368" s="658" t="s">
        <v>666</v>
      </c>
      <c r="C368" s="659" t="s">
        <v>4230</v>
      </c>
      <c r="D368" s="658" t="s">
        <v>667</v>
      </c>
      <c r="E368" s="659" t="s">
        <v>3106</v>
      </c>
      <c r="F368" s="659" t="s">
        <v>668</v>
      </c>
      <c r="G368" s="659" t="s">
        <v>669</v>
      </c>
      <c r="H368" s="658" t="s">
        <v>3468</v>
      </c>
      <c r="I368" s="658" t="s">
        <v>670</v>
      </c>
      <c r="J368" s="658" t="s">
        <v>671</v>
      </c>
      <c r="K368" s="658" t="s">
        <v>672</v>
      </c>
      <c r="L368" s="815" t="s">
        <v>673</v>
      </c>
      <c r="M368" s="658" t="s">
        <v>674</v>
      </c>
      <c r="N368" s="658" t="s">
        <v>675</v>
      </c>
    </row>
  </sheetData>
  <sortState ref="A2:O367">
    <sortCondition ref="A1"/>
  </sortState>
  <conditionalFormatting sqref="B308:N308">
    <cfRule type="expression" dxfId="0" priority="1">
      <formula>ISBLANK(B308)</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R56"/>
  <sheetViews>
    <sheetView showGridLines="0" zoomScale="85" zoomScaleNormal="85" workbookViewId="0">
      <selection activeCell="L21" sqref="L21"/>
    </sheetView>
  </sheetViews>
  <sheetFormatPr baseColWidth="10" defaultColWidth="0" defaultRowHeight="13.8" zeroHeight="1"/>
  <cols>
    <col min="1" max="2" width="11.44140625" style="1" customWidth="1"/>
    <col min="3" max="3" width="31.33203125" style="1" customWidth="1"/>
    <col min="4" max="9" width="11.44140625" style="1" customWidth="1"/>
    <col min="10" max="10" width="7.6640625" style="1" customWidth="1"/>
    <col min="11" max="11" width="3" style="1" customWidth="1"/>
    <col min="12" max="12" width="11.44140625" style="1" customWidth="1"/>
    <col min="13" max="13" width="2.6640625" style="1" customWidth="1"/>
    <col min="14" max="16384" width="11.44140625" style="1" hidden="1"/>
  </cols>
  <sheetData>
    <row r="1" spans="2:15"/>
    <row r="2" spans="2:15"/>
    <row r="3" spans="2:15" ht="66" customHeight="1">
      <c r="B3" s="834" t="str">
        <f>VLOOKUP("PREFA HWS BERECHNUNGSTOOL",Sprachindex!A:Z,$O$6,FALSE)</f>
        <v>PREFA HWS BERECHNUNGSTOOL</v>
      </c>
      <c r="C3" s="834"/>
      <c r="D3" s="834"/>
      <c r="E3" s="834"/>
      <c r="F3" s="834"/>
      <c r="G3" s="834"/>
      <c r="H3" s="834"/>
      <c r="I3" s="834"/>
      <c r="J3" s="834"/>
      <c r="K3" s="834"/>
      <c r="L3" s="834"/>
    </row>
    <row r="4" spans="2:15" ht="33">
      <c r="B4" s="835" t="str">
        <f>VLOOKUP("Einverständniserklärung",Sprachindex!A:Z,$O$6,FALSE)</f>
        <v>Einverständniserklärung</v>
      </c>
      <c r="C4" s="835"/>
      <c r="D4" s="835"/>
      <c r="E4" s="835"/>
      <c r="F4" s="835"/>
      <c r="G4" s="835"/>
      <c r="H4" s="835"/>
      <c r="I4" s="835"/>
      <c r="J4" s="835"/>
      <c r="K4" s="835"/>
      <c r="L4" s="835"/>
    </row>
    <row r="5" spans="2:15"/>
    <row r="6" spans="2:15">
      <c r="B6" s="849" t="str">
        <f>VLOOKUP("PREFA bietet dem Anwender ein kostenloses Berechnungstool für PREFA Hochwasserschutzsysteme.",Sprachindex!A:Z,$O$6,FALSE)</f>
        <v>PREFA bietet dem Anwender ein kostenloses Berechnungstool für PREFA Hochwasserschutzsysteme.</v>
      </c>
      <c r="C6" s="849"/>
      <c r="D6" s="849"/>
      <c r="E6" s="849"/>
      <c r="F6" s="849"/>
      <c r="G6" s="849"/>
      <c r="H6" s="849"/>
      <c r="J6" s="828" t="str">
        <f>VLOOKUP("Sprache",Sprachindex!A:Z,$O$6,FALSE)</f>
        <v>Sprache</v>
      </c>
      <c r="K6" s="829"/>
      <c r="L6" s="830"/>
      <c r="O6" s="582">
        <v>1</v>
      </c>
    </row>
    <row r="7" spans="2:15">
      <c r="B7" s="836" t="str">
        <f>VLOOKUP("Das Berechnungstool berücksichtigt die Anforderungen des Merkblattes 6/BWK Ausgabe Dezember 2005:",Sprachindex!A:Z,$O$6,FALSE)</f>
        <v>Das Berechnungstool berücksichtigt die Anforderungen des Merkblattes 6/BWK Ausgabe Dezember 2005:</v>
      </c>
      <c r="C7" s="836"/>
      <c r="D7" s="836"/>
      <c r="E7" s="836"/>
      <c r="F7" s="836"/>
      <c r="G7" s="836"/>
      <c r="H7" s="836"/>
      <c r="J7" s="2"/>
      <c r="K7" s="3"/>
      <c r="L7" s="4" t="s">
        <v>0</v>
      </c>
    </row>
    <row r="8" spans="2:15">
      <c r="B8" s="836"/>
      <c r="C8" s="836"/>
      <c r="D8" s="836"/>
      <c r="E8" s="836"/>
      <c r="F8" s="836"/>
      <c r="G8" s="836"/>
      <c r="H8" s="836"/>
      <c r="J8" s="2"/>
      <c r="K8" s="3"/>
      <c r="L8" s="4" t="s">
        <v>1</v>
      </c>
    </row>
    <row r="9" spans="2:15" ht="12.75" customHeight="1">
      <c r="J9" s="2"/>
      <c r="K9" s="3"/>
      <c r="L9" s="4" t="s">
        <v>2</v>
      </c>
    </row>
    <row r="10" spans="2:15">
      <c r="J10" s="2"/>
      <c r="K10" s="3"/>
      <c r="L10" s="616" t="s">
        <v>3</v>
      </c>
    </row>
    <row r="11" spans="2:15">
      <c r="B11" s="836" t="str">
        <f>VLOOKUP("Die vom Anwender eingegebenen Daten werden vom Berechnungstool automatisch verarbeitet ohne auf deren Richtigkeit überprüft werden zu können.",Sprachindex!A:Z,$O$6,FALSE) &amp; " " &amp; VLOOKUP("Die Berechnungsergebnisse sind nur für das von den Eingabedaten erfassten Hochwasserschutzsystem heranzuziehen.",Sprachindex!A:Z,$O$6,FALSE) &amp; " " &amp; VLOOKUP("Das Berechnungstool bezieht sich ausschließlich auf PREFA Hochwasserschutzsysteme.",Sprachindex!A:Z,$O$6,FALSE) &amp; " " &amp; VLOOKUP("Die Berechnungsergebnisse sind nicht auf andere Produkte oder Einsätze anwendbar.",Sprachindex!A:Z,$O$6,FALSE) &amp; " " &amp; VLOOKUP("Obwohl das Berechnungstool von PREFA mit größtmöglicher Sorgfalt erstellt wurde,",Sprachindex!A:Z,$O$6,FALSE) &amp; " " &amp; VLOOKUP("können die Berechnungsergebnisse zufolge der individuellen konstruktiven Besonderheiten jedes",Sprachindex!A:Z,$O$6,FALSE) &amp; " " &amp; VLOOKUP("Hochwasser-schutzsystemes und möglicher fehlerhafter Eingabe der Berechnungsgrundlagen nur unverbindliche Empfehlungen darstellen.",Sprachindex!A:Z,$O$6,FALSE) &amp; " " &amp; VLOOKUP("PREFA versteht das Berechnungstool als Hilfestellung an den Fachmann, die diesen aber nicht von der Pflicht zur eigenständigen Prüfung im Einzelfall entbindet.",Sprachindex!A:Z,$O$6,FALSE) &amp; " " &amp; VLOOKUP("PREFA übernimmt im Hinblick hierauf keinerlei Haftung für die Richtigkeit oder Vollständigkeit der Berechnungsergebnisse oder für hieraus abgeleitete Schadenersatzansprüche.",Sprachindex!A:Z,$O$6,FALSE) &amp; " " &amp; VLOOKUP("Bei nicht fachgerechter Montage und/oder Wartung oder bei Benutzung von nicht originalem Zubehör übernimmt PREFA keinerlei Haftung.",Sprachindex!A:Z,$O$6,FALSE) &amp; " " &amp; VLOOKUP("Ebenso sind bauliche Mängel, insbesondere nicht entsprechend wasserdichte Bausubstanz des Bauwerks, hydrostatische Krafteinwirkung und unsachgemäße Handhabung der Bauteile,",Sprachindex!A:Z,$O$6,FALSE) &amp; " " &amp; VLOOKUP("darunter auch Beschädigung durch mechanische Einwirkung von Personen oder Gegenständen, ausschlussgebend für eine Haftung seitens PREFA.",Sprachindex!A:Z,$O$6,FALSE) &amp; " " &amp; VLOOKUP("PREFA übernimmt keine Garantie für absolute Schadensverhinderung.",Sprachindex!A:Z,$O$6,FALSE)</f>
        <v>Die vom Anwender eingegebenen Daten werden vom Berechnungstool automatisch verarbeitet ohne auf deren Richtigkeit überprüft werden zu können. Die Berechnungsergebnisse sind nur für das von den Eingabedaten erfassten Hochwasserschutzsystem heranzuziehen. Das Berechnungstool bezieht sich ausschließlich auf PREFA Hochwasserschutzsysteme. Die Berechnungsergebnisse sind nicht auf andere Produkte oder Einsätze anwendbar. Obwohl das Berechnungstool von PREFA mit größtmöglicher Sorgfalt erstellt wurde, können die Berechnungsergebnisse zufolge der individuellen konstruktiven Besonderheiten jedes Hochwasser-schutzsystemes und möglicher fehlerhafter Eingabe der Berechnungsgrundlagen nur unverbindliche Empfehlungen darstellen. PREFA versteht das Berechnungstool als Hilfestellung an den Fachmann, die diesen aber nicht von der Pflicht zur eigenständigen Prüfung im Einzelfall entbindet. PREFA übernimmt im Hinblick hierauf keinerlei Haftung für die Richtigkeit oder Vollständigkeit der Berechnungsergebnisse oder für hieraus abgeleitete Schadenersatzansprüche. Bei nicht fachgerechter Montage und/oder Wartung oder bei Benutzung von nicht originalem Zubehör übernimmt PREFA keinerlei Haftung. Ebenso sind bauliche Mängel, insbesondere nicht entsprechend wasserdichte Bausubstanz des Bauwerks, hydrostatische Krafteinwirkung und unsachgemäße Handhabung der Bauteile, darunter auch Beschädigung durch mechanische Einwirkung von Personen oder Gegenständen, ausschlussgebend für eine Haftung seitens PREFA. PREFA übernimmt keine Garantie für absolute Schadensverhinderung.</v>
      </c>
      <c r="C11" s="836"/>
      <c r="D11" s="836"/>
      <c r="E11" s="836"/>
      <c r="F11" s="836"/>
      <c r="G11" s="836"/>
      <c r="H11" s="836"/>
      <c r="J11" s="6"/>
      <c r="K11" s="7"/>
      <c r="L11" s="4" t="s">
        <v>4</v>
      </c>
    </row>
    <row r="12" spans="2:15">
      <c r="B12" s="836"/>
      <c r="C12" s="836"/>
      <c r="D12" s="836"/>
      <c r="E12" s="836"/>
      <c r="F12" s="836"/>
      <c r="G12" s="836"/>
      <c r="H12" s="836"/>
      <c r="J12" s="6"/>
      <c r="K12" s="7"/>
      <c r="L12" s="5" t="s">
        <v>5</v>
      </c>
    </row>
    <row r="13" spans="2:15">
      <c r="B13" s="836"/>
      <c r="C13" s="836"/>
      <c r="D13" s="836"/>
      <c r="E13" s="836"/>
      <c r="F13" s="836"/>
      <c r="G13" s="836"/>
      <c r="H13" s="836"/>
      <c r="J13" s="6"/>
      <c r="K13" s="7"/>
      <c r="L13" s="616" t="s">
        <v>6</v>
      </c>
    </row>
    <row r="14" spans="2:15">
      <c r="B14" s="836"/>
      <c r="C14" s="836"/>
      <c r="D14" s="836"/>
      <c r="E14" s="836"/>
      <c r="F14" s="836"/>
      <c r="G14" s="836"/>
      <c r="H14" s="836"/>
      <c r="J14" s="6"/>
      <c r="K14" s="7"/>
      <c r="L14" s="616" t="s">
        <v>7</v>
      </c>
    </row>
    <row r="15" spans="2:15">
      <c r="B15" s="836"/>
      <c r="C15" s="836"/>
      <c r="D15" s="836"/>
      <c r="E15" s="836"/>
      <c r="F15" s="836"/>
      <c r="G15" s="836"/>
      <c r="H15" s="836"/>
      <c r="J15" s="6"/>
      <c r="K15" s="7"/>
      <c r="L15" s="4" t="s">
        <v>8</v>
      </c>
    </row>
    <row r="16" spans="2:15">
      <c r="B16" s="836"/>
      <c r="C16" s="836"/>
      <c r="D16" s="836"/>
      <c r="E16" s="836"/>
      <c r="F16" s="836"/>
      <c r="G16" s="836"/>
      <c r="H16" s="836"/>
      <c r="J16" s="6"/>
      <c r="K16" s="7"/>
      <c r="L16" s="4" t="s">
        <v>9</v>
      </c>
    </row>
    <row r="17" spans="2:18">
      <c r="B17" s="836"/>
      <c r="C17" s="836"/>
      <c r="D17" s="836"/>
      <c r="E17" s="836"/>
      <c r="F17" s="836"/>
      <c r="G17" s="836"/>
      <c r="H17" s="836"/>
      <c r="J17" s="6"/>
      <c r="K17" s="7"/>
      <c r="L17" s="4" t="s">
        <v>10</v>
      </c>
    </row>
    <row r="18" spans="2:18">
      <c r="B18" s="836"/>
      <c r="C18" s="836"/>
      <c r="D18" s="836"/>
      <c r="E18" s="836"/>
      <c r="F18" s="836"/>
      <c r="G18" s="836"/>
      <c r="H18" s="836"/>
      <c r="J18" s="6"/>
      <c r="K18" s="7"/>
      <c r="L18" s="4" t="s">
        <v>11</v>
      </c>
    </row>
    <row r="19" spans="2:18">
      <c r="B19" s="836"/>
      <c r="C19" s="836"/>
      <c r="D19" s="836"/>
      <c r="E19" s="836"/>
      <c r="F19" s="836"/>
      <c r="G19" s="836"/>
      <c r="H19" s="836"/>
      <c r="J19" s="6"/>
      <c r="K19" s="7"/>
      <c r="L19" s="4" t="s">
        <v>12</v>
      </c>
    </row>
    <row r="20" spans="2:18">
      <c r="B20" s="836"/>
      <c r="C20" s="836"/>
      <c r="D20" s="836"/>
      <c r="E20" s="836"/>
      <c r="F20" s="836"/>
      <c r="G20" s="836"/>
      <c r="H20" s="836"/>
      <c r="J20" s="6"/>
      <c r="K20" s="7"/>
      <c r="L20" s="4" t="s">
        <v>13</v>
      </c>
    </row>
    <row r="21" spans="2:18">
      <c r="B21" s="836"/>
      <c r="C21" s="836"/>
      <c r="D21" s="836"/>
      <c r="E21" s="836"/>
      <c r="F21" s="836"/>
      <c r="G21" s="836"/>
      <c r="H21" s="836"/>
      <c r="L21" s="656">
        <v>1</v>
      </c>
    </row>
    <row r="22" spans="2:18">
      <c r="B22" s="836"/>
      <c r="C22" s="836"/>
      <c r="D22" s="836"/>
      <c r="E22" s="836"/>
      <c r="F22" s="836"/>
      <c r="G22" s="836"/>
      <c r="H22" s="836"/>
      <c r="L22" s="656"/>
    </row>
    <row r="23" spans="2:18">
      <c r="B23" s="836"/>
      <c r="C23" s="836"/>
      <c r="D23" s="836"/>
      <c r="E23" s="836"/>
      <c r="F23" s="836"/>
      <c r="G23" s="836"/>
      <c r="H23" s="836"/>
      <c r="L23" s="656"/>
      <c r="O23" s="8">
        <f ca="1">TODAY()</f>
        <v>44775</v>
      </c>
      <c r="Q23" s="8">
        <f>Q24</f>
        <v>44926</v>
      </c>
      <c r="R23" s="8">
        <f ca="1">Q23-O23</f>
        <v>151</v>
      </c>
    </row>
    <row r="24" spans="2:18" ht="15.6">
      <c r="B24" s="836"/>
      <c r="C24" s="836"/>
      <c r="D24" s="836"/>
      <c r="E24" s="836"/>
      <c r="F24" s="836"/>
      <c r="G24" s="836"/>
      <c r="H24" s="836"/>
      <c r="I24" s="9"/>
      <c r="J24" s="9"/>
      <c r="K24" s="9"/>
      <c r="L24" s="9"/>
      <c r="Q24" s="10">
        <v>44926</v>
      </c>
    </row>
    <row r="25" spans="2:18">
      <c r="B25" s="836"/>
      <c r="C25" s="836"/>
      <c r="D25" s="836"/>
      <c r="E25" s="836"/>
      <c r="F25" s="836"/>
      <c r="G25" s="836"/>
      <c r="H25" s="836"/>
      <c r="I25" s="583"/>
      <c r="J25" s="583"/>
      <c r="K25" s="583"/>
      <c r="L25" s="583"/>
    </row>
    <row r="26" spans="2:18">
      <c r="B26" s="836"/>
      <c r="C26" s="836"/>
      <c r="D26" s="836"/>
      <c r="E26" s="836"/>
      <c r="F26" s="836"/>
      <c r="G26" s="836"/>
      <c r="H26" s="836"/>
      <c r="I26" s="583"/>
      <c r="J26" s="583"/>
      <c r="K26" s="583"/>
      <c r="L26" s="583"/>
    </row>
    <row r="27" spans="2:18">
      <c r="B27" s="836"/>
      <c r="C27" s="836"/>
      <c r="D27" s="836"/>
      <c r="E27" s="836"/>
      <c r="F27" s="836"/>
      <c r="G27" s="836"/>
      <c r="H27" s="836"/>
      <c r="I27" s="11"/>
      <c r="J27" s="11"/>
      <c r="K27" s="11"/>
      <c r="L27" s="11"/>
    </row>
    <row r="28" spans="2:18"/>
    <row r="29" spans="2:18" ht="15.6">
      <c r="B29" s="9" t="str">
        <f>VLOOKUP("Vorannahmen für den statischen Nachweis (bei Bedarf änderbar):",Sprachindex!A:Z,$O$6,FALSE)</f>
        <v>Vorannahmen für den statischen Nachweis (bei Bedarf änderbar):</v>
      </c>
    </row>
    <row r="30" spans="2:18">
      <c r="C30" s="841" t="str">
        <f>VLOOKUP("Dichte Wasser inkl. Geschiebe:  rw",Sprachindex!A:Z,$O$6,FALSE)</f>
        <v>Dichte Wasser inkl. Geschiebe:  rw</v>
      </c>
      <c r="D30" s="842"/>
      <c r="E30" s="843"/>
      <c r="F30" s="12">
        <v>1000</v>
      </c>
      <c r="G30" s="1" t="str">
        <f>VLOOKUP("kg/m³",Sprachindex!A:Z,$O$6,FALSE)</f>
        <v>kg/m³</v>
      </c>
      <c r="J30" s="828" t="str">
        <f>VLOOKUP("MwSt.",Sprachindex!A:Z,$O$6,FALSE)</f>
        <v>MwSt.</v>
      </c>
      <c r="K30" s="829"/>
      <c r="L30" s="830"/>
    </row>
    <row r="31" spans="2:18">
      <c r="C31" s="844" t="str">
        <f>VLOOKUP("Fließgeschwindigkeit: v",Sprachindex!A:Z,$O$6,FALSE)</f>
        <v>Fließgeschwindigkeit: v</v>
      </c>
      <c r="D31" s="845"/>
      <c r="E31" s="846"/>
      <c r="F31" s="12">
        <v>4</v>
      </c>
      <c r="G31" s="1" t="str">
        <f>VLOOKUP("m/s",Sprachindex!A:Z,$O$6,FALSE)</f>
        <v>m/s</v>
      </c>
      <c r="J31" s="831">
        <v>20</v>
      </c>
      <c r="K31" s="832"/>
      <c r="L31" s="833"/>
    </row>
    <row r="32" spans="2:18">
      <c r="C32" s="844" t="str">
        <f>VLOOKUP("anprallende Treibgutmasse: m",Sprachindex!A:Z,$O$6,FALSE)</f>
        <v>anprallende Treibgutmasse: m</v>
      </c>
      <c r="D32" s="845"/>
      <c r="E32" s="846"/>
      <c r="F32" s="12">
        <v>0.4</v>
      </c>
      <c r="G32" s="1" t="str">
        <f>VLOOKUP("t",Sprachindex!A:Z,$O$6,FALSE)</f>
        <v>t</v>
      </c>
    </row>
    <row r="33" spans="2:12">
      <c r="C33" s="844" t="str">
        <f>VLOOKUP("Maximale Durchbiegung Dammbalken (1/150 = Standard)",Sprachindex!A:Z,$O$6,FALSE)</f>
        <v>Maximale Durchbiegung Dammbalken (1/150 = Standard)</v>
      </c>
      <c r="D33" s="845"/>
      <c r="E33" s="846"/>
      <c r="F33" s="12">
        <v>150</v>
      </c>
      <c r="I33" s="580">
        <v>1</v>
      </c>
    </row>
    <row r="34" spans="2:12">
      <c r="C34" s="844" t="str">
        <f>VLOOKUP("Maximale Durchbiegung Rundsteher (1/150 = Standard)",Sprachindex!A:Z,$O$6,FALSE)</f>
        <v>Maximale Durchbiegung Rundsteher (1/150 = Standard)</v>
      </c>
      <c r="D34" s="845"/>
      <c r="E34" s="846"/>
      <c r="F34" s="12">
        <v>150</v>
      </c>
    </row>
    <row r="35" spans="2:12"/>
    <row r="36" spans="2:12"/>
    <row r="37" spans="2:12" ht="15.6">
      <c r="B37" s="9" t="str">
        <f>VLOOKUP("Folgende Nachweise werden berechnet bzw berücksichtigt:",Sprachindex!A:Z,$O$6,FALSE)</f>
        <v>Folgende Nachweise werden berechnet bzw berücksichtigt:</v>
      </c>
      <c r="G37" s="9" t="str">
        <f>VLOOKUP("Die Gültigkeit dieses Dokumentes endet mit 31.12.2022",Sprachindex!A:Z,$O$6,FALSE)</f>
        <v>Die Gültigkeit dieses Dokumentes endet mit 31.12.2022</v>
      </c>
      <c r="H37" s="9"/>
      <c r="I37" s="9"/>
      <c r="J37" s="9"/>
      <c r="K37" s="9"/>
      <c r="L37" s="9"/>
    </row>
    <row r="38" spans="2:12">
      <c r="C38" s="1" t="str">
        <f>VLOOKUP("Hydrostatische Einwirkung",Sprachindex!A:Z,$O$6,FALSE)</f>
        <v>Hydrostatische Einwirkung</v>
      </c>
      <c r="G38" s="848" t="str">
        <f>VLOOKUP("Die hinterlegten Preise gelten bis Neuauflage der Preisliste vorbehaltlich vorgezogener Preisanpassungen",Sprachindex!A:Z,$O$6,FALSE)</f>
        <v>Die hinterlegten Preise gelten bis Neuauflage der Preisliste vorbehaltlich vorgezogener Preisanpassungen</v>
      </c>
      <c r="H38" s="848"/>
      <c r="I38" s="848"/>
      <c r="J38" s="848"/>
      <c r="K38" s="848"/>
      <c r="L38" s="848"/>
    </row>
    <row r="39" spans="2:12">
      <c r="C39" s="1" t="str">
        <f>VLOOKUP("Hydrodynamische Einwirkung",Sprachindex!A:Z,$O$6,FALSE)</f>
        <v>Hydrodynamische Einwirkung</v>
      </c>
      <c r="G39" s="848"/>
      <c r="H39" s="848"/>
      <c r="I39" s="848"/>
      <c r="J39" s="848"/>
      <c r="K39" s="848"/>
      <c r="L39" s="848"/>
    </row>
    <row r="40" spans="2:12">
      <c r="C40" s="1" t="str">
        <f>VLOOKUP("Anprall von Treibgut (nur bei Eingabe von Anströmwinkel)",Sprachindex!A:Z,$O$6,FALSE)</f>
        <v>Anprall von Treibgut (nur bei Eingabe von Anströmwinkel)</v>
      </c>
      <c r="G40" s="11"/>
      <c r="H40" s="11"/>
      <c r="I40" s="11"/>
      <c r="J40" s="11"/>
      <c r="K40" s="11"/>
      <c r="L40" s="11"/>
    </row>
    <row r="41" spans="2:12"/>
    <row r="42" spans="2:12"/>
    <row r="43" spans="2:12">
      <c r="G43" s="840" t="str">
        <f ca="1">VLOOKUP("Nach Ablauf des Datums (noch",Sprachindex!A:Z,$O$6,FALSE) &amp; " " &amp; Q23-O23 &amp; " " &amp; VLOOKUP("Tage)",Sprachindex!A:Z,$O$6,FALSE)</f>
        <v>Nach Ablauf des Datums (noch 151 Tage)</v>
      </c>
      <c r="H43" s="840"/>
      <c r="I43" s="840"/>
      <c r="J43" s="840"/>
      <c r="K43" s="840"/>
      <c r="L43" s="840"/>
    </row>
    <row r="44" spans="2:12">
      <c r="G44" s="840" t="str">
        <f>VLOOKUP("verliert die Excel seine Funktionsfähigkeit",Sprachindex!A:Z,$O$6,FALSE)</f>
        <v>verliert die Excel seine Funktionsfähigkeit</v>
      </c>
      <c r="H44" s="840"/>
      <c r="I44" s="840"/>
      <c r="J44" s="840"/>
      <c r="K44" s="840"/>
      <c r="L44" s="840"/>
    </row>
    <row r="45" spans="2:12"/>
    <row r="46" spans="2:12"/>
    <row r="47" spans="2:12"/>
    <row r="48" spans="2:12"/>
    <row r="49" spans="1:13"/>
    <row r="50" spans="1:13"/>
    <row r="51" spans="1:13">
      <c r="E51" s="1" t="str">
        <f>VLOOKUP("BHW = Bemessungshochwasser",Sprachindex!A:Z,$O$6,FALSE)</f>
        <v>BHW = Bemessungshochwasser</v>
      </c>
    </row>
    <row r="52" spans="1:13">
      <c r="E52" s="1" t="str">
        <f>VLOOKUP("FB = Freibord",Sprachindex!A:Z,$O$6,FALSE)</f>
        <v>FB = Freibord</v>
      </c>
    </row>
    <row r="53" spans="1:13">
      <c r="E53" s="1" t="str">
        <f>VLOOKUP("VS = Volleinstau",Sprachindex!A:Z,$O$6,FALSE)</f>
        <v>VS = Volleinstau</v>
      </c>
    </row>
    <row r="54" spans="1:13">
      <c r="C54" s="1" t="str">
        <f>VLOOKUP("Abbildung 1",Sprachindex!A:Z,$O$6,FALSE)</f>
        <v>Abbildung 1</v>
      </c>
    </row>
    <row r="55" spans="1:13"/>
    <row r="56" spans="1:13" ht="16.8">
      <c r="A56" s="13" t="str">
        <f>VLOOKUP("Anwendungstechnik",Sprachindex!A:Z,$O$6,FALSE)</f>
        <v>Anwendungstechnik</v>
      </c>
      <c r="B56" s="3"/>
      <c r="C56" s="3"/>
      <c r="D56" s="3"/>
      <c r="E56" s="14" t="str">
        <f>VLOOKUP("Stand:",Sprachindex!A:Z,$O$6,FALSE)</f>
        <v>Stand:</v>
      </c>
      <c r="F56" s="847">
        <f>Erhebungsbogen!F66</f>
        <v>44684</v>
      </c>
      <c r="G56" s="847"/>
      <c r="H56" s="3"/>
      <c r="I56" s="3"/>
      <c r="J56" s="14" t="str">
        <f>VLOOKUP("Version:",Sprachindex!A:Z,$O$6,FALSE)</f>
        <v>Version:</v>
      </c>
      <c r="K56" s="837" t="str">
        <f>Erhebungsbogen!L66</f>
        <v>03.05.2022</v>
      </c>
      <c r="L56" s="838"/>
      <c r="M56" s="839"/>
    </row>
  </sheetData>
  <sheetProtection sheet="1" selectLockedCells="1"/>
  <mergeCells count="18">
    <mergeCell ref="K56:M56"/>
    <mergeCell ref="J6:L6"/>
    <mergeCell ref="G43:L43"/>
    <mergeCell ref="G44:L44"/>
    <mergeCell ref="C30:E30"/>
    <mergeCell ref="C31:E31"/>
    <mergeCell ref="C32:E32"/>
    <mergeCell ref="C33:E33"/>
    <mergeCell ref="C34:E34"/>
    <mergeCell ref="F56:G56"/>
    <mergeCell ref="G38:L39"/>
    <mergeCell ref="B11:H27"/>
    <mergeCell ref="B6:H6"/>
    <mergeCell ref="J30:L30"/>
    <mergeCell ref="J31:L31"/>
    <mergeCell ref="B3:L3"/>
    <mergeCell ref="B4:L4"/>
    <mergeCell ref="B7:H8"/>
  </mergeCells>
  <conditionalFormatting sqref="J30:L31">
    <cfRule type="expression" dxfId="231" priority="1">
      <formula>$L$23&lt;&gt;3</formula>
    </cfRule>
  </conditionalFormatting>
  <pageMargins left="0.7" right="0.7" top="0.78740157499999996" bottom="0.78740157499999996"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Group Box 2">
              <controlPr defaultSize="0" print="0" autoFill="0" autoPict="0">
                <anchor moveWithCells="1">
                  <from>
                    <xdr:col>8</xdr:col>
                    <xdr:colOff>762000</xdr:colOff>
                    <xdr:row>5</xdr:row>
                    <xdr:rowOff>0</xdr:rowOff>
                  </from>
                  <to>
                    <xdr:col>12</xdr:col>
                    <xdr:colOff>0</xdr:colOff>
                    <xdr:row>20</xdr:row>
                    <xdr:rowOff>0</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9</xdr:col>
                    <xdr:colOff>106680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9</xdr:col>
                    <xdr:colOff>106680</xdr:colOff>
                    <xdr:row>7</xdr:row>
                    <xdr:rowOff>0</xdr:rowOff>
                  </from>
                  <to>
                    <xdr:col>11</xdr:col>
                    <xdr:colOff>762000</xdr:colOff>
                    <xdr:row>8</xdr:row>
                    <xdr:rowOff>0</xdr:rowOff>
                  </to>
                </anchor>
              </controlPr>
            </control>
          </mc:Choice>
        </mc:AlternateContent>
        <mc:AlternateContent xmlns:mc="http://schemas.openxmlformats.org/markup-compatibility/2006">
          <mc:Choice Requires="x14">
            <control shapeId="1029" r:id="rId7" name="Option Button 5">
              <controlPr defaultSize="0" autoFill="0" autoLine="0" autoPict="0">
                <anchor moveWithCells="1">
                  <from>
                    <xdr:col>9</xdr:col>
                    <xdr:colOff>106680</xdr:colOff>
                    <xdr:row>8</xdr:row>
                    <xdr:rowOff>0</xdr:rowOff>
                  </from>
                  <to>
                    <xdr:col>11</xdr:col>
                    <xdr:colOff>762000</xdr:colOff>
                    <xdr:row>9</xdr:row>
                    <xdr:rowOff>0</xdr:rowOff>
                  </to>
                </anchor>
              </controlPr>
            </control>
          </mc:Choice>
        </mc:AlternateContent>
        <mc:AlternateContent xmlns:mc="http://schemas.openxmlformats.org/markup-compatibility/2006">
          <mc:Choice Requires="x14">
            <control shapeId="1030" r:id="rId8" name="Option Button 6">
              <controlPr defaultSize="0" autoFill="0" autoLine="0" autoPict="0">
                <anchor moveWithCells="1">
                  <from>
                    <xdr:col>9</xdr:col>
                    <xdr:colOff>106680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1031" r:id="rId9" name="Option Button 7">
              <controlPr defaultSize="0" autoFill="0" autoLine="0" autoPict="0">
                <anchor moveWithCells="1">
                  <from>
                    <xdr:col>9</xdr:col>
                    <xdr:colOff>106680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1032" r:id="rId10" name="Option Button 8">
              <controlPr defaultSize="0" autoFill="0" autoLine="0" autoPict="0">
                <anchor moveWithCells="1">
                  <from>
                    <xdr:col>9</xdr:col>
                    <xdr:colOff>106680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1033" r:id="rId11" name="Option Button 9">
              <controlPr defaultSize="0" autoFill="0" autoLine="0" autoPict="0">
                <anchor moveWithCells="1">
                  <from>
                    <xdr:col>9</xdr:col>
                    <xdr:colOff>106680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1034" r:id="rId12" name="Option Button 10">
              <controlPr defaultSize="0" autoFill="0" autoLine="0" autoPict="0">
                <anchor moveWithCells="1">
                  <from>
                    <xdr:col>9</xdr:col>
                    <xdr:colOff>106680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1035" r:id="rId13" name="Option Button 11">
              <controlPr defaultSize="0" autoFill="0" autoLine="0" autoPict="0">
                <anchor moveWithCells="1">
                  <from>
                    <xdr:col>9</xdr:col>
                    <xdr:colOff>106680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1036" r:id="rId14" name="Option Button 12">
              <controlPr defaultSize="0" autoFill="0" autoLine="0" autoPict="0">
                <anchor moveWithCells="1">
                  <from>
                    <xdr:col>9</xdr:col>
                    <xdr:colOff>106680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1037" r:id="rId15" name="Option Button 13">
              <controlPr defaultSize="0" autoFill="0" autoLine="0" autoPict="0">
                <anchor moveWithCells="1">
                  <from>
                    <xdr:col>9</xdr:col>
                    <xdr:colOff>106680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1038" r:id="rId16" name="Option Button 14">
              <controlPr defaultSize="0" autoFill="0" autoLine="0" autoPict="0">
                <anchor moveWithCells="1">
                  <from>
                    <xdr:col>9</xdr:col>
                    <xdr:colOff>106680</xdr:colOff>
                    <xdr:row>17</xdr:row>
                    <xdr:rowOff>0</xdr:rowOff>
                  </from>
                  <to>
                    <xdr:col>12</xdr:col>
                    <xdr:colOff>0</xdr:colOff>
                    <xdr:row>18</xdr:row>
                    <xdr:rowOff>0</xdr:rowOff>
                  </to>
                </anchor>
              </controlPr>
            </control>
          </mc:Choice>
        </mc:AlternateContent>
        <mc:AlternateContent xmlns:mc="http://schemas.openxmlformats.org/markup-compatibility/2006">
          <mc:Choice Requires="x14">
            <control shapeId="1039" r:id="rId17" name="Option Button 15">
              <controlPr defaultSize="0" autoFill="0" autoLine="0" autoPict="0">
                <anchor moveWithCells="1">
                  <from>
                    <xdr:col>9</xdr:col>
                    <xdr:colOff>106680</xdr:colOff>
                    <xdr:row>17</xdr:row>
                    <xdr:rowOff>160020</xdr:rowOff>
                  </from>
                  <to>
                    <xdr:col>12</xdr:col>
                    <xdr:colOff>0</xdr:colOff>
                    <xdr:row>19</xdr:row>
                    <xdr:rowOff>0</xdr:rowOff>
                  </to>
                </anchor>
              </controlPr>
            </control>
          </mc:Choice>
        </mc:AlternateContent>
        <mc:AlternateContent xmlns:mc="http://schemas.openxmlformats.org/markup-compatibility/2006">
          <mc:Choice Requires="x14">
            <control shapeId="1040" r:id="rId18" name="Option Button 16">
              <controlPr defaultSize="0" autoFill="0" autoLine="0" autoPict="0">
                <anchor moveWithCells="1">
                  <from>
                    <xdr:col>9</xdr:col>
                    <xdr:colOff>106680</xdr:colOff>
                    <xdr:row>19</xdr:row>
                    <xdr:rowOff>0</xdr:rowOff>
                  </from>
                  <to>
                    <xdr:col>12</xdr:col>
                    <xdr:colOff>0</xdr:colOff>
                    <xdr:row>20</xdr:row>
                    <xdr:rowOff>0</xdr:rowOff>
                  </to>
                </anchor>
              </controlPr>
            </control>
          </mc:Choice>
        </mc:AlternateContent>
        <mc:AlternateContent xmlns:mc="http://schemas.openxmlformats.org/markup-compatibility/2006">
          <mc:Choice Requires="x14">
            <control shapeId="1041" r:id="rId19" name="Schaltfläche17">
              <controlPr defaultSize="0" print="0" autoFill="0" autoPict="0" macro="[0]!Start">
                <anchor moveWithCells="1" sizeWithCells="1">
                  <from>
                    <xdr:col>6</xdr:col>
                    <xdr:colOff>754380</xdr:colOff>
                    <xdr:row>40</xdr:row>
                    <xdr:rowOff>0</xdr:rowOff>
                  </from>
                  <to>
                    <xdr:col>10</xdr:col>
                    <xdr:colOff>190500</xdr:colOff>
                    <xdr:row>42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dimension ref="A1:WVL48"/>
  <sheetViews>
    <sheetView showGridLines="0" zoomScaleNormal="100" workbookViewId="0">
      <selection activeCell="B9" sqref="B9"/>
    </sheetView>
  </sheetViews>
  <sheetFormatPr baseColWidth="10" defaultColWidth="0" defaultRowHeight="14.4"/>
  <cols>
    <col min="1" max="1" width="32.5546875" style="587" customWidth="1"/>
    <col min="2" max="2" width="12.109375" style="587" customWidth="1"/>
    <col min="3" max="3" width="3.44140625" style="587" customWidth="1"/>
    <col min="4" max="4" width="11.6640625" style="587" customWidth="1"/>
    <col min="5" max="5" width="3.44140625" style="587" customWidth="1"/>
    <col min="6" max="7" width="11.44140625" style="587" customWidth="1"/>
    <col min="8" max="8" width="11.44140625" style="587" hidden="1"/>
    <col min="9" max="9" width="22.6640625" hidden="1"/>
    <col min="10" max="10" width="10.6640625" hidden="1"/>
    <col min="11" max="15" width="8.88671875" hidden="1"/>
    <col min="16" max="16" width="10.33203125" hidden="1"/>
    <col min="17" max="27" width="8.88671875" hidden="1"/>
    <col min="28" max="256" width="11.44140625" style="587" hidden="1"/>
    <col min="257" max="257" width="32.5546875" style="587" hidden="1"/>
    <col min="258" max="258" width="12.109375" style="587" hidden="1"/>
    <col min="259" max="259" width="3.44140625" style="587" hidden="1"/>
    <col min="260" max="260" width="11.6640625" style="587" hidden="1"/>
    <col min="261" max="512" width="11.44140625" style="587" hidden="1"/>
    <col min="513" max="513" width="32.5546875" style="587" hidden="1"/>
    <col min="514" max="514" width="12.109375" style="587" hidden="1"/>
    <col min="515" max="515" width="3.44140625" style="587" hidden="1"/>
    <col min="516" max="516" width="11.6640625" style="587" hidden="1"/>
    <col min="517" max="768" width="11.44140625" style="587" hidden="1"/>
    <col min="769" max="769" width="32.5546875" style="587" hidden="1"/>
    <col min="770" max="770" width="12.109375" style="587" hidden="1"/>
    <col min="771" max="771" width="3.44140625" style="587" hidden="1"/>
    <col min="772" max="772" width="11.6640625" style="587" hidden="1"/>
    <col min="773" max="1024" width="11.44140625" style="587" hidden="1"/>
    <col min="1025" max="1025" width="32.5546875" style="587" hidden="1"/>
    <col min="1026" max="1026" width="12.109375" style="587" hidden="1"/>
    <col min="1027" max="1027" width="3.44140625" style="587" hidden="1"/>
    <col min="1028" max="1028" width="11.6640625" style="587" hidden="1"/>
    <col min="1029" max="1280" width="11.44140625" style="587" hidden="1"/>
    <col min="1281" max="1281" width="32.5546875" style="587" hidden="1"/>
    <col min="1282" max="1282" width="12.109375" style="587" hidden="1"/>
    <col min="1283" max="1283" width="3.44140625" style="587" hidden="1"/>
    <col min="1284" max="1284" width="11.6640625" style="587" hidden="1"/>
    <col min="1285" max="1536" width="11.44140625" style="587" hidden="1"/>
    <col min="1537" max="1537" width="32.5546875" style="587" hidden="1"/>
    <col min="1538" max="1538" width="12.109375" style="587" hidden="1"/>
    <col min="1539" max="1539" width="3.44140625" style="587" hidden="1"/>
    <col min="1540" max="1540" width="11.6640625" style="587" hidden="1"/>
    <col min="1541" max="1792" width="11.44140625" style="587" hidden="1"/>
    <col min="1793" max="1793" width="32.5546875" style="587" hidden="1"/>
    <col min="1794" max="1794" width="12.109375" style="587" hidden="1"/>
    <col min="1795" max="1795" width="3.44140625" style="587" hidden="1"/>
    <col min="1796" max="1796" width="11.6640625" style="587" hidden="1"/>
    <col min="1797" max="2048" width="11.44140625" style="587" hidden="1"/>
    <col min="2049" max="2049" width="32.5546875" style="587" hidden="1"/>
    <col min="2050" max="2050" width="12.109375" style="587" hidden="1"/>
    <col min="2051" max="2051" width="3.44140625" style="587" hidden="1"/>
    <col min="2052" max="2052" width="11.6640625" style="587" hidden="1"/>
    <col min="2053" max="2304" width="11.44140625" style="587" hidden="1"/>
    <col min="2305" max="2305" width="32.5546875" style="587" hidden="1"/>
    <col min="2306" max="2306" width="12.109375" style="587" hidden="1"/>
    <col min="2307" max="2307" width="3.44140625" style="587" hidden="1"/>
    <col min="2308" max="2308" width="11.6640625" style="587" hidden="1"/>
    <col min="2309" max="2560" width="11.44140625" style="587" hidden="1"/>
    <col min="2561" max="2561" width="32.5546875" style="587" hidden="1"/>
    <col min="2562" max="2562" width="12.109375" style="587" hidden="1"/>
    <col min="2563" max="2563" width="3.44140625" style="587" hidden="1"/>
    <col min="2564" max="2564" width="11.6640625" style="587" hidden="1"/>
    <col min="2565" max="2816" width="11.44140625" style="587" hidden="1"/>
    <col min="2817" max="2817" width="32.5546875" style="587" hidden="1"/>
    <col min="2818" max="2818" width="12.109375" style="587" hidden="1"/>
    <col min="2819" max="2819" width="3.44140625" style="587" hidden="1"/>
    <col min="2820" max="2820" width="11.6640625" style="587" hidden="1"/>
    <col min="2821" max="3072" width="11.44140625" style="587" hidden="1"/>
    <col min="3073" max="3073" width="32.5546875" style="587" hidden="1"/>
    <col min="3074" max="3074" width="12.109375" style="587" hidden="1"/>
    <col min="3075" max="3075" width="3.44140625" style="587" hidden="1"/>
    <col min="3076" max="3076" width="11.6640625" style="587" hidden="1"/>
    <col min="3077" max="3328" width="11.44140625" style="587" hidden="1"/>
    <col min="3329" max="3329" width="32.5546875" style="587" hidden="1"/>
    <col min="3330" max="3330" width="12.109375" style="587" hidden="1"/>
    <col min="3331" max="3331" width="3.44140625" style="587" hidden="1"/>
    <col min="3332" max="3332" width="11.6640625" style="587" hidden="1"/>
    <col min="3333" max="3584" width="11.44140625" style="587" hidden="1"/>
    <col min="3585" max="3585" width="32.5546875" style="587" hidden="1"/>
    <col min="3586" max="3586" width="12.109375" style="587" hidden="1"/>
    <col min="3587" max="3587" width="3.44140625" style="587" hidden="1"/>
    <col min="3588" max="3588" width="11.6640625" style="587" hidden="1"/>
    <col min="3589" max="3840" width="11.44140625" style="587" hidden="1"/>
    <col min="3841" max="3841" width="32.5546875" style="587" hidden="1"/>
    <col min="3842" max="3842" width="12.109375" style="587" hidden="1"/>
    <col min="3843" max="3843" width="3.44140625" style="587" hidden="1"/>
    <col min="3844" max="3844" width="11.6640625" style="587" hidden="1"/>
    <col min="3845" max="4096" width="11.44140625" style="587" hidden="1"/>
    <col min="4097" max="4097" width="32.5546875" style="587" hidden="1"/>
    <col min="4098" max="4098" width="12.109375" style="587" hidden="1"/>
    <col min="4099" max="4099" width="3.44140625" style="587" hidden="1"/>
    <col min="4100" max="4100" width="11.6640625" style="587" hidden="1"/>
    <col min="4101" max="4352" width="11.44140625" style="587" hidden="1"/>
    <col min="4353" max="4353" width="32.5546875" style="587" hidden="1"/>
    <col min="4354" max="4354" width="12.109375" style="587" hidden="1"/>
    <col min="4355" max="4355" width="3.44140625" style="587" hidden="1"/>
    <col min="4356" max="4356" width="11.6640625" style="587" hidden="1"/>
    <col min="4357" max="4608" width="11.44140625" style="587" hidden="1"/>
    <col min="4609" max="4609" width="32.5546875" style="587" hidden="1"/>
    <col min="4610" max="4610" width="12.109375" style="587" hidden="1"/>
    <col min="4611" max="4611" width="3.44140625" style="587" hidden="1"/>
    <col min="4612" max="4612" width="11.6640625" style="587" hidden="1"/>
    <col min="4613" max="4864" width="11.44140625" style="587" hidden="1"/>
    <col min="4865" max="4865" width="32.5546875" style="587" hidden="1"/>
    <col min="4866" max="4866" width="12.109375" style="587" hidden="1"/>
    <col min="4867" max="4867" width="3.44140625" style="587" hidden="1"/>
    <col min="4868" max="4868" width="11.6640625" style="587" hidden="1"/>
    <col min="4869" max="5120" width="11.44140625" style="587" hidden="1"/>
    <col min="5121" max="5121" width="32.5546875" style="587" hidden="1"/>
    <col min="5122" max="5122" width="12.109375" style="587" hidden="1"/>
    <col min="5123" max="5123" width="3.44140625" style="587" hidden="1"/>
    <col min="5124" max="5124" width="11.6640625" style="587" hidden="1"/>
    <col min="5125" max="5376" width="11.44140625" style="587" hidden="1"/>
    <col min="5377" max="5377" width="32.5546875" style="587" hidden="1"/>
    <col min="5378" max="5378" width="12.109375" style="587" hidden="1"/>
    <col min="5379" max="5379" width="3.44140625" style="587" hidden="1"/>
    <col min="5380" max="5380" width="11.6640625" style="587" hidden="1"/>
    <col min="5381" max="5632" width="11.44140625" style="587" hidden="1"/>
    <col min="5633" max="5633" width="32.5546875" style="587" hidden="1"/>
    <col min="5634" max="5634" width="12.109375" style="587" hidden="1"/>
    <col min="5635" max="5635" width="3.44140625" style="587" hidden="1"/>
    <col min="5636" max="5636" width="11.6640625" style="587" hidden="1"/>
    <col min="5637" max="5888" width="11.44140625" style="587" hidden="1"/>
    <col min="5889" max="5889" width="32.5546875" style="587" hidden="1"/>
    <col min="5890" max="5890" width="12.109375" style="587" hidden="1"/>
    <col min="5891" max="5891" width="3.44140625" style="587" hidden="1"/>
    <col min="5892" max="5892" width="11.6640625" style="587" hidden="1"/>
    <col min="5893" max="6144" width="11.44140625" style="587" hidden="1"/>
    <col min="6145" max="6145" width="32.5546875" style="587" hidden="1"/>
    <col min="6146" max="6146" width="12.109375" style="587" hidden="1"/>
    <col min="6147" max="6147" width="3.44140625" style="587" hidden="1"/>
    <col min="6148" max="6148" width="11.6640625" style="587" hidden="1"/>
    <col min="6149" max="6400" width="11.44140625" style="587" hidden="1"/>
    <col min="6401" max="6401" width="32.5546875" style="587" hidden="1"/>
    <col min="6402" max="6402" width="12.109375" style="587" hidden="1"/>
    <col min="6403" max="6403" width="3.44140625" style="587" hidden="1"/>
    <col min="6404" max="6404" width="11.6640625" style="587" hidden="1"/>
    <col min="6405" max="6656" width="11.44140625" style="587" hidden="1"/>
    <col min="6657" max="6657" width="32.5546875" style="587" hidden="1"/>
    <col min="6658" max="6658" width="12.109375" style="587" hidden="1"/>
    <col min="6659" max="6659" width="3.44140625" style="587" hidden="1"/>
    <col min="6660" max="6660" width="11.6640625" style="587" hidden="1"/>
    <col min="6661" max="6912" width="11.44140625" style="587" hidden="1"/>
    <col min="6913" max="6913" width="32.5546875" style="587" hidden="1"/>
    <col min="6914" max="6914" width="12.109375" style="587" hidden="1"/>
    <col min="6915" max="6915" width="3.44140625" style="587" hidden="1"/>
    <col min="6916" max="6916" width="11.6640625" style="587" hidden="1"/>
    <col min="6917" max="7168" width="11.44140625" style="587" hidden="1"/>
    <col min="7169" max="7169" width="32.5546875" style="587" hidden="1"/>
    <col min="7170" max="7170" width="12.109375" style="587" hidden="1"/>
    <col min="7171" max="7171" width="3.44140625" style="587" hidden="1"/>
    <col min="7172" max="7172" width="11.6640625" style="587" hidden="1"/>
    <col min="7173" max="7424" width="11.44140625" style="587" hidden="1"/>
    <col min="7425" max="7425" width="32.5546875" style="587" hidden="1"/>
    <col min="7426" max="7426" width="12.109375" style="587" hidden="1"/>
    <col min="7427" max="7427" width="3.44140625" style="587" hidden="1"/>
    <col min="7428" max="7428" width="11.6640625" style="587" hidden="1"/>
    <col min="7429" max="7680" width="11.44140625" style="587" hidden="1"/>
    <col min="7681" max="7681" width="32.5546875" style="587" hidden="1"/>
    <col min="7682" max="7682" width="12.109375" style="587" hidden="1"/>
    <col min="7683" max="7683" width="3.44140625" style="587" hidden="1"/>
    <col min="7684" max="7684" width="11.6640625" style="587" hidden="1"/>
    <col min="7685" max="7936" width="11.44140625" style="587" hidden="1"/>
    <col min="7937" max="7937" width="32.5546875" style="587" hidden="1"/>
    <col min="7938" max="7938" width="12.109375" style="587" hidden="1"/>
    <col min="7939" max="7939" width="3.44140625" style="587" hidden="1"/>
    <col min="7940" max="7940" width="11.6640625" style="587" hidden="1"/>
    <col min="7941" max="8192" width="11.44140625" style="587" hidden="1"/>
    <col min="8193" max="8193" width="32.5546875" style="587" hidden="1"/>
    <col min="8194" max="8194" width="12.109375" style="587" hidden="1"/>
    <col min="8195" max="8195" width="3.44140625" style="587" hidden="1"/>
    <col min="8196" max="8196" width="11.6640625" style="587" hidden="1"/>
    <col min="8197" max="8448" width="11.44140625" style="587" hidden="1"/>
    <col min="8449" max="8449" width="32.5546875" style="587" hidden="1"/>
    <col min="8450" max="8450" width="12.109375" style="587" hidden="1"/>
    <col min="8451" max="8451" width="3.44140625" style="587" hidden="1"/>
    <col min="8452" max="8452" width="11.6640625" style="587" hidden="1"/>
    <col min="8453" max="8704" width="11.44140625" style="587" hidden="1"/>
    <col min="8705" max="8705" width="32.5546875" style="587" hidden="1"/>
    <col min="8706" max="8706" width="12.109375" style="587" hidden="1"/>
    <col min="8707" max="8707" width="3.44140625" style="587" hidden="1"/>
    <col min="8708" max="8708" width="11.6640625" style="587" hidden="1"/>
    <col min="8709" max="8960" width="11.44140625" style="587" hidden="1"/>
    <col min="8961" max="8961" width="32.5546875" style="587" hidden="1"/>
    <col min="8962" max="8962" width="12.109375" style="587" hidden="1"/>
    <col min="8963" max="8963" width="3.44140625" style="587" hidden="1"/>
    <col min="8964" max="8964" width="11.6640625" style="587" hidden="1"/>
    <col min="8965" max="9216" width="11.44140625" style="587" hidden="1"/>
    <col min="9217" max="9217" width="32.5546875" style="587" hidden="1"/>
    <col min="9218" max="9218" width="12.109375" style="587" hidden="1"/>
    <col min="9219" max="9219" width="3.44140625" style="587" hidden="1"/>
    <col min="9220" max="9220" width="11.6640625" style="587" hidden="1"/>
    <col min="9221" max="9472" width="11.44140625" style="587" hidden="1"/>
    <col min="9473" max="9473" width="32.5546875" style="587" hidden="1"/>
    <col min="9474" max="9474" width="12.109375" style="587" hidden="1"/>
    <col min="9475" max="9475" width="3.44140625" style="587" hidden="1"/>
    <col min="9476" max="9476" width="11.6640625" style="587" hidden="1"/>
    <col min="9477" max="9728" width="11.44140625" style="587" hidden="1"/>
    <col min="9729" max="9729" width="32.5546875" style="587" hidden="1"/>
    <col min="9730" max="9730" width="12.109375" style="587" hidden="1"/>
    <col min="9731" max="9731" width="3.44140625" style="587" hidden="1"/>
    <col min="9732" max="9732" width="11.6640625" style="587" hidden="1"/>
    <col min="9733" max="9984" width="11.44140625" style="587" hidden="1"/>
    <col min="9985" max="9985" width="32.5546875" style="587" hidden="1"/>
    <col min="9986" max="9986" width="12.109375" style="587" hidden="1"/>
    <col min="9987" max="9987" width="3.44140625" style="587" hidden="1"/>
    <col min="9988" max="9988" width="11.6640625" style="587" hidden="1"/>
    <col min="9989" max="10240" width="11.44140625" style="587" hidden="1"/>
    <col min="10241" max="10241" width="32.5546875" style="587" hidden="1"/>
    <col min="10242" max="10242" width="12.109375" style="587" hidden="1"/>
    <col min="10243" max="10243" width="3.44140625" style="587" hidden="1"/>
    <col min="10244" max="10244" width="11.6640625" style="587" hidden="1"/>
    <col min="10245" max="10496" width="11.44140625" style="587" hidden="1"/>
    <col min="10497" max="10497" width="32.5546875" style="587" hidden="1"/>
    <col min="10498" max="10498" width="12.109375" style="587" hidden="1"/>
    <col min="10499" max="10499" width="3.44140625" style="587" hidden="1"/>
    <col min="10500" max="10500" width="11.6640625" style="587" hidden="1"/>
    <col min="10501" max="10752" width="11.44140625" style="587" hidden="1"/>
    <col min="10753" max="10753" width="32.5546875" style="587" hidden="1"/>
    <col min="10754" max="10754" width="12.109375" style="587" hidden="1"/>
    <col min="10755" max="10755" width="3.44140625" style="587" hidden="1"/>
    <col min="10756" max="10756" width="11.6640625" style="587" hidden="1"/>
    <col min="10757" max="11008" width="11.44140625" style="587" hidden="1"/>
    <col min="11009" max="11009" width="32.5546875" style="587" hidden="1"/>
    <col min="11010" max="11010" width="12.109375" style="587" hidden="1"/>
    <col min="11011" max="11011" width="3.44140625" style="587" hidden="1"/>
    <col min="11012" max="11012" width="11.6640625" style="587" hidden="1"/>
    <col min="11013" max="11264" width="11.44140625" style="587" hidden="1"/>
    <col min="11265" max="11265" width="32.5546875" style="587" hidden="1"/>
    <col min="11266" max="11266" width="12.109375" style="587" hidden="1"/>
    <col min="11267" max="11267" width="3.44140625" style="587" hidden="1"/>
    <col min="11268" max="11268" width="11.6640625" style="587" hidden="1"/>
    <col min="11269" max="11520" width="11.44140625" style="587" hidden="1"/>
    <col min="11521" max="11521" width="32.5546875" style="587" hidden="1"/>
    <col min="11522" max="11522" width="12.109375" style="587" hidden="1"/>
    <col min="11523" max="11523" width="3.44140625" style="587" hidden="1"/>
    <col min="11524" max="11524" width="11.6640625" style="587" hidden="1"/>
    <col min="11525" max="11776" width="11.44140625" style="587" hidden="1"/>
    <col min="11777" max="11777" width="32.5546875" style="587" hidden="1"/>
    <col min="11778" max="11778" width="12.109375" style="587" hidden="1"/>
    <col min="11779" max="11779" width="3.44140625" style="587" hidden="1"/>
    <col min="11780" max="11780" width="11.6640625" style="587" hidden="1"/>
    <col min="11781" max="12032" width="11.44140625" style="587" hidden="1"/>
    <col min="12033" max="12033" width="32.5546875" style="587" hidden="1"/>
    <col min="12034" max="12034" width="12.109375" style="587" hidden="1"/>
    <col min="12035" max="12035" width="3.44140625" style="587" hidden="1"/>
    <col min="12036" max="12036" width="11.6640625" style="587" hidden="1"/>
    <col min="12037" max="12288" width="11.44140625" style="587" hidden="1"/>
    <col min="12289" max="12289" width="32.5546875" style="587" hidden="1"/>
    <col min="12290" max="12290" width="12.109375" style="587" hidden="1"/>
    <col min="12291" max="12291" width="3.44140625" style="587" hidden="1"/>
    <col min="12292" max="12292" width="11.6640625" style="587" hidden="1"/>
    <col min="12293" max="12544" width="11.44140625" style="587" hidden="1"/>
    <col min="12545" max="12545" width="32.5546875" style="587" hidden="1"/>
    <col min="12546" max="12546" width="12.109375" style="587" hidden="1"/>
    <col min="12547" max="12547" width="3.44140625" style="587" hidden="1"/>
    <col min="12548" max="12548" width="11.6640625" style="587" hidden="1"/>
    <col min="12549" max="12800" width="11.44140625" style="587" hidden="1"/>
    <col min="12801" max="12801" width="32.5546875" style="587" hidden="1"/>
    <col min="12802" max="12802" width="12.109375" style="587" hidden="1"/>
    <col min="12803" max="12803" width="3.44140625" style="587" hidden="1"/>
    <col min="12804" max="12804" width="11.6640625" style="587" hidden="1"/>
    <col min="12805" max="13056" width="11.44140625" style="587" hidden="1"/>
    <col min="13057" max="13057" width="32.5546875" style="587" hidden="1"/>
    <col min="13058" max="13058" width="12.109375" style="587" hidden="1"/>
    <col min="13059" max="13059" width="3.44140625" style="587" hidden="1"/>
    <col min="13060" max="13060" width="11.6640625" style="587" hidden="1"/>
    <col min="13061" max="13312" width="11.44140625" style="587" hidden="1"/>
    <col min="13313" max="13313" width="32.5546875" style="587" hidden="1"/>
    <col min="13314" max="13314" width="12.109375" style="587" hidden="1"/>
    <col min="13315" max="13315" width="3.44140625" style="587" hidden="1"/>
    <col min="13316" max="13316" width="11.6640625" style="587" hidden="1"/>
    <col min="13317" max="13568" width="11.44140625" style="587" hidden="1"/>
    <col min="13569" max="13569" width="32.5546875" style="587" hidden="1"/>
    <col min="13570" max="13570" width="12.109375" style="587" hidden="1"/>
    <col min="13571" max="13571" width="3.44140625" style="587" hidden="1"/>
    <col min="13572" max="13572" width="11.6640625" style="587" hidden="1"/>
    <col min="13573" max="13824" width="11.44140625" style="587" hidden="1"/>
    <col min="13825" max="13825" width="32.5546875" style="587" hidden="1"/>
    <col min="13826" max="13826" width="12.109375" style="587" hidden="1"/>
    <col min="13827" max="13827" width="3.44140625" style="587" hidden="1"/>
    <col min="13828" max="13828" width="11.6640625" style="587" hidden="1"/>
    <col min="13829" max="14080" width="11.44140625" style="587" hidden="1"/>
    <col min="14081" max="14081" width="32.5546875" style="587" hidden="1"/>
    <col min="14082" max="14082" width="12.109375" style="587" hidden="1"/>
    <col min="14083" max="14083" width="3.44140625" style="587" hidden="1"/>
    <col min="14084" max="14084" width="11.6640625" style="587" hidden="1"/>
    <col min="14085" max="14336" width="11.44140625" style="587" hidden="1"/>
    <col min="14337" max="14337" width="32.5546875" style="587" hidden="1"/>
    <col min="14338" max="14338" width="12.109375" style="587" hidden="1"/>
    <col min="14339" max="14339" width="3.44140625" style="587" hidden="1"/>
    <col min="14340" max="14340" width="11.6640625" style="587" hidden="1"/>
    <col min="14341" max="14592" width="11.44140625" style="587" hidden="1"/>
    <col min="14593" max="14593" width="32.5546875" style="587" hidden="1"/>
    <col min="14594" max="14594" width="12.109375" style="587" hidden="1"/>
    <col min="14595" max="14595" width="3.44140625" style="587" hidden="1"/>
    <col min="14596" max="14596" width="11.6640625" style="587" hidden="1"/>
    <col min="14597" max="14848" width="11.44140625" style="587" hidden="1"/>
    <col min="14849" max="14849" width="32.5546875" style="587" hidden="1"/>
    <col min="14850" max="14850" width="12.109375" style="587" hidden="1"/>
    <col min="14851" max="14851" width="3.44140625" style="587" hidden="1"/>
    <col min="14852" max="14852" width="11.6640625" style="587" hidden="1"/>
    <col min="14853" max="15104" width="11.44140625" style="587" hidden="1"/>
    <col min="15105" max="15105" width="32.5546875" style="587" hidden="1"/>
    <col min="15106" max="15106" width="12.109375" style="587" hidden="1"/>
    <col min="15107" max="15107" width="3.44140625" style="587" hidden="1"/>
    <col min="15108" max="15108" width="11.6640625" style="587" hidden="1"/>
    <col min="15109" max="15360" width="11.44140625" style="587" hidden="1"/>
    <col min="15361" max="15361" width="32.5546875" style="587" hidden="1"/>
    <col min="15362" max="15362" width="12.109375" style="587" hidden="1"/>
    <col min="15363" max="15363" width="3.44140625" style="587" hidden="1"/>
    <col min="15364" max="15364" width="11.6640625" style="587" hidden="1"/>
    <col min="15365" max="15616" width="11.44140625" style="587" hidden="1"/>
    <col min="15617" max="15617" width="32.5546875" style="587" hidden="1"/>
    <col min="15618" max="15618" width="12.109375" style="587" hidden="1"/>
    <col min="15619" max="15619" width="3.44140625" style="587" hidden="1"/>
    <col min="15620" max="15620" width="11.6640625" style="587" hidden="1"/>
    <col min="15621" max="15872" width="11.44140625" style="587" hidden="1"/>
    <col min="15873" max="15873" width="32.5546875" style="587" hidden="1"/>
    <col min="15874" max="15874" width="12.109375" style="587" hidden="1"/>
    <col min="15875" max="15875" width="3.44140625" style="587" hidden="1"/>
    <col min="15876" max="15876" width="11.6640625" style="587" hidden="1"/>
    <col min="15877" max="16128" width="11.44140625" style="587" hidden="1"/>
    <col min="16129" max="16129" width="32.5546875" style="587" hidden="1"/>
    <col min="16130" max="16130" width="12.109375" style="587" hidden="1"/>
    <col min="16131" max="16131" width="3.44140625" style="587" hidden="1"/>
    <col min="16132" max="16132" width="11.6640625" style="587" hidden="1"/>
    <col min="16133" max="16384" width="11.44140625" style="587" hidden="1"/>
  </cols>
  <sheetData>
    <row r="1" spans="1:21" ht="47.25" customHeight="1">
      <c r="A1" s="850" t="str">
        <f>VLOOKUP("Berechnung U-Profilhöhe bei Montage in Leibung zum Einfädeln",Sprachindex!$A:$Z,Haftungsausschluß!$O$6,FALSE)</f>
        <v>Berechnung U-Profilhöhe bei Montage in Leibung zum Einfädeln</v>
      </c>
      <c r="B1" s="850"/>
      <c r="C1" s="850"/>
      <c r="D1" s="850"/>
      <c r="I1" s="743" t="s">
        <v>4085</v>
      </c>
      <c r="J1" s="743" t="s">
        <v>4086</v>
      </c>
    </row>
    <row r="2" spans="1:21" ht="15" thickBot="1">
      <c r="I2" s="744" t="s">
        <v>1514</v>
      </c>
      <c r="J2" s="745">
        <v>44600</v>
      </c>
    </row>
    <row r="3" spans="1:21" ht="18.600000000000001" thickBot="1">
      <c r="A3" s="588" t="str">
        <f>VLOOKUP("Lichteweite [mm]:",Sprachindex!$A:$Z,Haftungsausschluß!$O$6,FALSE)</f>
        <v>Lichteweite [mm]:</v>
      </c>
      <c r="B3" s="854">
        <v>1000</v>
      </c>
      <c r="C3" s="855"/>
      <c r="D3" s="856"/>
      <c r="I3" s="744" t="s">
        <v>3733</v>
      </c>
      <c r="J3" t="s">
        <v>4087</v>
      </c>
    </row>
    <row r="4" spans="1:21">
      <c r="Q4" s="857" t="s">
        <v>489</v>
      </c>
      <c r="R4" s="857"/>
      <c r="S4" s="857"/>
      <c r="T4" s="857"/>
    </row>
    <row r="5" spans="1:21">
      <c r="B5" s="589" t="str">
        <f>VLOOKUP("System 25:",Sprachindex!$A:$Z,Haftungsausschluß!$O$6,FALSE)</f>
        <v>System 25:</v>
      </c>
      <c r="C5" s="590"/>
      <c r="D5" s="589" t="str">
        <f>VLOOKUP("System 50:",Sprachindex!$A:$Z,Haftungsausschluß!$O$6,FALSE)</f>
        <v>System 50:</v>
      </c>
      <c r="F5" s="589" t="str">
        <f>VLOOKUP("System 50 + 80:",Sprachindex!$A:$Z,Haftungsausschluß!$O$6,FALSE)</f>
        <v>System 50 + 80:</v>
      </c>
      <c r="I5" s="161" t="s">
        <v>4088</v>
      </c>
      <c r="J5" s="162"/>
      <c r="K5" s="162"/>
      <c r="L5" s="162"/>
      <c r="M5" s="162"/>
      <c r="N5" s="746" t="s">
        <v>2748</v>
      </c>
      <c r="P5" s="746" t="s">
        <v>4089</v>
      </c>
      <c r="Q5" s="747" t="s">
        <v>2748</v>
      </c>
      <c r="R5" s="747" t="s">
        <v>2747</v>
      </c>
      <c r="S5" s="747" t="s">
        <v>2746</v>
      </c>
      <c r="T5" s="747" t="s">
        <v>2745</v>
      </c>
    </row>
    <row r="6" spans="1:21" ht="16.2" thickBot="1">
      <c r="A6" s="591"/>
      <c r="B6" s="590">
        <v>200</v>
      </c>
      <c r="C6" s="590"/>
      <c r="D6" s="590">
        <v>150</v>
      </c>
      <c r="F6" s="590">
        <v>200</v>
      </c>
      <c r="I6" s="749" t="s">
        <v>4090</v>
      </c>
      <c r="J6" s="750" t="s">
        <v>4091</v>
      </c>
      <c r="K6" s="751">
        <f>B3</f>
        <v>1000</v>
      </c>
      <c r="L6" s="141" t="s">
        <v>2754</v>
      </c>
      <c r="M6" s="141"/>
      <c r="N6" s="752"/>
      <c r="P6" s="746" t="s">
        <v>4092</v>
      </c>
      <c r="Q6" s="747">
        <v>200</v>
      </c>
      <c r="R6" s="747">
        <v>150</v>
      </c>
      <c r="S6" s="747">
        <v>200</v>
      </c>
      <c r="T6" s="747">
        <v>200</v>
      </c>
    </row>
    <row r="7" spans="1:21" ht="16.2" thickBot="1">
      <c r="A7" s="591" t="str">
        <f>VLOOKUP("Dammbalkenlänge:",Sprachindex!$A:$Z,Haftungsausschluß!$O$6,FALSE)</f>
        <v>Dammbalkenlänge:</v>
      </c>
      <c r="B7" s="592">
        <f>+($B$3+B15)</f>
        <v>1065</v>
      </c>
      <c r="C7" s="593"/>
      <c r="D7" s="592">
        <f>+($B$3+D15)</f>
        <v>1076</v>
      </c>
      <c r="E7" s="594"/>
      <c r="F7" s="592">
        <f>+($B$3+F15)</f>
        <v>1076</v>
      </c>
      <c r="I7" s="749" t="s">
        <v>489</v>
      </c>
      <c r="J7" s="750"/>
      <c r="K7" s="753" t="s">
        <v>2748</v>
      </c>
      <c r="L7" s="141"/>
      <c r="M7" s="141"/>
      <c r="N7" s="752"/>
      <c r="P7" s="746" t="s">
        <v>4093</v>
      </c>
      <c r="Q7" s="747">
        <v>19</v>
      </c>
      <c r="R7" s="747">
        <v>15</v>
      </c>
      <c r="S7" s="747">
        <v>15</v>
      </c>
      <c r="T7" s="747">
        <v>15</v>
      </c>
    </row>
    <row r="8" spans="1:21" ht="15" customHeight="1" thickBot="1">
      <c r="A8" s="591"/>
      <c r="I8" s="749" t="s">
        <v>4094</v>
      </c>
      <c r="J8" s="750" t="s">
        <v>4095</v>
      </c>
      <c r="K8" s="754">
        <f>K6+2*HLOOKUP(K7,$Q$5:$T$9,5,)</f>
        <v>1065</v>
      </c>
      <c r="L8" s="141" t="s">
        <v>2754</v>
      </c>
      <c r="M8" s="141"/>
      <c r="N8" s="752"/>
      <c r="P8" s="746" t="s">
        <v>4096</v>
      </c>
      <c r="Q8" s="747">
        <f>Q7+Q6</f>
        <v>219</v>
      </c>
      <c r="R8" s="747">
        <f t="shared" ref="R8:T8" si="0">R7+R6</f>
        <v>165</v>
      </c>
      <c r="S8" s="747">
        <f t="shared" si="0"/>
        <v>215</v>
      </c>
      <c r="T8" s="747">
        <f t="shared" si="0"/>
        <v>215</v>
      </c>
    </row>
    <row r="9" spans="1:21" ht="18.600000000000001" thickBot="1">
      <c r="B9" s="595">
        <f>K17</f>
        <v>311</v>
      </c>
      <c r="C9" s="596"/>
      <c r="D9" s="595">
        <f>K32</f>
        <v>307</v>
      </c>
      <c r="F9" s="595">
        <f>K47</f>
        <v>324</v>
      </c>
      <c r="I9" s="749" t="s">
        <v>4097</v>
      </c>
      <c r="J9" s="750" t="s">
        <v>4098</v>
      </c>
      <c r="K9" s="754">
        <f>HLOOKUP(K7,$Q$5:$T$9,4,)</f>
        <v>219</v>
      </c>
      <c r="L9" s="141" t="s">
        <v>2754</v>
      </c>
      <c r="M9" s="141"/>
      <c r="N9" s="752"/>
      <c r="P9" s="748" t="s">
        <v>4099</v>
      </c>
      <c r="Q9" s="747">
        <v>32.5</v>
      </c>
      <c r="R9" s="747">
        <v>38</v>
      </c>
      <c r="S9" s="747">
        <v>38</v>
      </c>
      <c r="T9" s="747">
        <v>38</v>
      </c>
      <c r="U9" t="s">
        <v>4100</v>
      </c>
    </row>
    <row r="10" spans="1:21" ht="15" customHeight="1" thickBot="1">
      <c r="B10" s="597"/>
      <c r="C10" s="596"/>
      <c r="D10" s="597"/>
      <c r="E10" s="594"/>
      <c r="F10" s="597"/>
      <c r="I10" s="749" t="s">
        <v>4101</v>
      </c>
      <c r="J10" s="750" t="s">
        <v>4102</v>
      </c>
      <c r="K10" s="754">
        <f>HLOOKUP(K7,$Q$5:$T$9,3,)</f>
        <v>19</v>
      </c>
      <c r="L10" s="141" t="s">
        <v>2754</v>
      </c>
      <c r="M10" s="141"/>
      <c r="N10" s="752"/>
      <c r="P10" s="748" t="s">
        <v>4103</v>
      </c>
      <c r="Q10" s="747">
        <v>42</v>
      </c>
      <c r="R10" s="747">
        <v>47</v>
      </c>
      <c r="S10" s="747">
        <v>47</v>
      </c>
      <c r="T10" s="747">
        <v>47</v>
      </c>
    </row>
    <row r="11" spans="1:21" ht="18.600000000000001" thickBot="1">
      <c r="B11" s="598">
        <f>K18</f>
        <v>615</v>
      </c>
      <c r="C11" s="596"/>
      <c r="D11" s="598">
        <f>K33</f>
        <v>585</v>
      </c>
      <c r="F11" s="598">
        <f>K48</f>
        <v>625</v>
      </c>
      <c r="I11" s="749" t="s">
        <v>4104</v>
      </c>
      <c r="J11" s="750" t="s">
        <v>4105</v>
      </c>
      <c r="K11" s="754">
        <f>HLOOKUP(K7,$Q$5:$T$10,6,)</f>
        <v>42</v>
      </c>
      <c r="L11" s="141" t="s">
        <v>2754</v>
      </c>
      <c r="M11" s="141"/>
      <c r="N11" s="752"/>
    </row>
    <row r="12" spans="1:21" ht="15" thickBot="1">
      <c r="B12" s="599"/>
      <c r="C12" s="599"/>
      <c r="D12" s="599"/>
      <c r="I12" s="749" t="s">
        <v>4106</v>
      </c>
      <c r="J12" s="750" t="s">
        <v>4107</v>
      </c>
      <c r="K12" s="755">
        <v>5</v>
      </c>
      <c r="L12" s="141" t="s">
        <v>2754</v>
      </c>
      <c r="M12" s="141" t="s">
        <v>4108</v>
      </c>
      <c r="N12" s="752"/>
    </row>
    <row r="13" spans="1:21" ht="15" customHeight="1">
      <c r="A13" s="851" t="s">
        <v>3047</v>
      </c>
      <c r="B13" s="852"/>
      <c r="C13" s="852"/>
      <c r="D13" s="853"/>
      <c r="I13" s="749"/>
      <c r="J13" s="141"/>
      <c r="K13" s="141"/>
      <c r="L13" s="141"/>
      <c r="M13" s="141"/>
      <c r="N13" s="752"/>
    </row>
    <row r="14" spans="1:21" ht="15" customHeight="1">
      <c r="I14" s="749"/>
      <c r="J14" s="750" t="s">
        <v>4109</v>
      </c>
      <c r="K14" s="141">
        <f>ACOS((K6+K11)/(K8^2+K9^2)^0.5)/PI()*180</f>
        <v>16.594204070746304</v>
      </c>
      <c r="L14" s="141" t="s">
        <v>2782</v>
      </c>
      <c r="M14" s="141"/>
      <c r="N14" s="752"/>
    </row>
    <row r="15" spans="1:21" ht="15" customHeight="1">
      <c r="A15" s="600" t="s">
        <v>3048</v>
      </c>
      <c r="B15" s="601">
        <v>65</v>
      </c>
      <c r="C15" s="602"/>
      <c r="D15" s="603">
        <v>76</v>
      </c>
      <c r="F15" s="603">
        <v>76</v>
      </c>
      <c r="I15" s="749"/>
      <c r="J15" s="750" t="s">
        <v>4110</v>
      </c>
      <c r="K15" s="141">
        <f>K14+ATAN(K9/K8)/PI()*180</f>
        <v>28.21417561556693</v>
      </c>
      <c r="L15" s="141" t="s">
        <v>2782</v>
      </c>
      <c r="M15" s="141"/>
      <c r="N15" s="752"/>
    </row>
    <row r="16" spans="1:21" ht="30.75" customHeight="1" thickBot="1">
      <c r="A16" s="604" t="s">
        <v>3049</v>
      </c>
      <c r="B16" s="605">
        <v>42</v>
      </c>
      <c r="C16" s="606"/>
      <c r="D16" s="607">
        <v>47.3</v>
      </c>
      <c r="F16" s="607">
        <v>47.3</v>
      </c>
      <c r="I16" s="749"/>
      <c r="J16" s="750" t="s">
        <v>4111</v>
      </c>
      <c r="K16" s="756">
        <f>SIN(K15/180*PI())*K8-K9+K10</f>
        <v>303.4987663744472</v>
      </c>
      <c r="L16" s="141"/>
      <c r="M16" s="141"/>
      <c r="N16" s="752"/>
    </row>
    <row r="17" spans="1:14" ht="20.399999999999999">
      <c r="A17" s="608"/>
      <c r="B17" s="609"/>
      <c r="C17" s="609"/>
      <c r="D17" s="609"/>
      <c r="I17" s="749" t="s">
        <v>4112</v>
      </c>
      <c r="J17" s="757" t="s">
        <v>4113</v>
      </c>
      <c r="K17" s="758">
        <f>ROUNDUP(SIN(ACOS((K6+K11-K12/2)/(K8^2+K9^2)^0.5)+ATAN(K9/K8))*K8-K9+K10,0)</f>
        <v>311</v>
      </c>
      <c r="L17" s="759" t="s">
        <v>2754</v>
      </c>
      <c r="M17" s="141"/>
      <c r="N17" s="752"/>
    </row>
    <row r="18" spans="1:14" ht="20.399999999999999">
      <c r="I18" s="760" t="s">
        <v>4114</v>
      </c>
      <c r="J18" s="761" t="s">
        <v>4115</v>
      </c>
      <c r="K18" s="762">
        <f>ROUNDUP(SIN(ACOS((K6-K12)/(K8^2+K9^2)^0.5)+ATAN(K9/K8))*K8-K9+K10+COS(ACOS((K6-K12)/(K8^2+K9^2)^0.5)+ATAN(K9/K8))*K9+K10,0)</f>
        <v>615</v>
      </c>
      <c r="L18" s="763" t="s">
        <v>2754</v>
      </c>
      <c r="M18" s="764"/>
      <c r="N18" s="765"/>
    </row>
    <row r="20" spans="1:14">
      <c r="I20" s="161" t="s">
        <v>4088</v>
      </c>
      <c r="J20" s="162"/>
      <c r="K20" s="162"/>
      <c r="L20" s="162"/>
      <c r="M20" s="162"/>
      <c r="N20" s="746" t="s">
        <v>2747</v>
      </c>
    </row>
    <row r="21" spans="1:14">
      <c r="I21" s="749" t="s">
        <v>4090</v>
      </c>
      <c r="J21" s="750" t="s">
        <v>4091</v>
      </c>
      <c r="K21" s="751">
        <f>B3</f>
        <v>1000</v>
      </c>
      <c r="L21" s="141" t="s">
        <v>2754</v>
      </c>
      <c r="M21" s="141"/>
      <c r="N21" s="752"/>
    </row>
    <row r="22" spans="1:14">
      <c r="I22" s="749" t="s">
        <v>489</v>
      </c>
      <c r="J22" s="750"/>
      <c r="K22" s="753" t="s">
        <v>2747</v>
      </c>
      <c r="L22" s="141"/>
      <c r="M22" s="141"/>
      <c r="N22" s="752"/>
    </row>
    <row r="23" spans="1:14" ht="15.6">
      <c r="I23" s="749" t="s">
        <v>4094</v>
      </c>
      <c r="J23" s="750" t="s">
        <v>4095</v>
      </c>
      <c r="K23" s="754">
        <f>K21+2*HLOOKUP(K22,$Q$5:$T$9,5,)</f>
        <v>1076</v>
      </c>
      <c r="L23" s="141" t="s">
        <v>2754</v>
      </c>
      <c r="M23" s="141"/>
      <c r="N23" s="752"/>
    </row>
    <row r="24" spans="1:14" ht="15.6">
      <c r="I24" s="749" t="s">
        <v>4097</v>
      </c>
      <c r="J24" s="750" t="s">
        <v>4098</v>
      </c>
      <c r="K24" s="754">
        <f>HLOOKUP(K22,$Q$5:$T$9,4,)</f>
        <v>165</v>
      </c>
      <c r="L24" s="141" t="s">
        <v>2754</v>
      </c>
      <c r="M24" s="141"/>
      <c r="N24" s="752"/>
    </row>
    <row r="25" spans="1:14" ht="15.6">
      <c r="I25" s="749" t="s">
        <v>4101</v>
      </c>
      <c r="J25" s="750" t="s">
        <v>4102</v>
      </c>
      <c r="K25" s="754">
        <f>HLOOKUP(K22,$Q$5:$T$9,3,)</f>
        <v>15</v>
      </c>
      <c r="L25" s="141" t="s">
        <v>2754</v>
      </c>
      <c r="M25" s="141"/>
      <c r="N25" s="752"/>
    </row>
    <row r="26" spans="1:14">
      <c r="I26" s="749" t="s">
        <v>4104</v>
      </c>
      <c r="J26" s="750" t="s">
        <v>4105</v>
      </c>
      <c r="K26" s="754">
        <f>HLOOKUP(K22,$Q$5:$T$10,6,)</f>
        <v>47</v>
      </c>
      <c r="L26" s="141" t="s">
        <v>2754</v>
      </c>
      <c r="M26" s="141"/>
      <c r="N26" s="752"/>
    </row>
    <row r="27" spans="1:14">
      <c r="I27" s="749" t="s">
        <v>4106</v>
      </c>
      <c r="J27" s="750" t="s">
        <v>4107</v>
      </c>
      <c r="K27" s="755">
        <v>5</v>
      </c>
      <c r="L27" s="141" t="s">
        <v>2754</v>
      </c>
      <c r="M27" s="141" t="s">
        <v>4108</v>
      </c>
      <c r="N27" s="752"/>
    </row>
    <row r="28" spans="1:14">
      <c r="I28" s="749"/>
      <c r="J28" s="141"/>
      <c r="K28" s="141"/>
      <c r="L28" s="141"/>
      <c r="M28" s="141"/>
      <c r="N28" s="752"/>
    </row>
    <row r="29" spans="1:14">
      <c r="I29" s="749"/>
      <c r="J29" s="750" t="s">
        <v>4109</v>
      </c>
      <c r="K29" s="141">
        <f>ACOS((K21+K26)/(K23^2+K24^2)^0.5)/PI()*180</f>
        <v>15.886538619015383</v>
      </c>
      <c r="L29" s="141" t="s">
        <v>2782</v>
      </c>
      <c r="M29" s="141"/>
      <c r="N29" s="752"/>
    </row>
    <row r="30" spans="1:14">
      <c r="I30" s="749"/>
      <c r="J30" s="750" t="s">
        <v>4110</v>
      </c>
      <c r="K30" s="141">
        <f>K29+ATAN(K24/K23)/PI()*180</f>
        <v>24.604689258114998</v>
      </c>
      <c r="L30" s="141" t="s">
        <v>2782</v>
      </c>
      <c r="M30" s="141"/>
      <c r="N30" s="752"/>
    </row>
    <row r="31" spans="1:14" ht="15.6">
      <c r="I31" s="749"/>
      <c r="J31" s="750" t="s">
        <v>4111</v>
      </c>
      <c r="K31" s="756">
        <f>SIN(K30/180*PI())*K23-K24+K25</f>
        <v>297.99820108698339</v>
      </c>
      <c r="L31" s="141"/>
      <c r="M31" s="141"/>
      <c r="N31" s="752"/>
    </row>
    <row r="32" spans="1:14" ht="20.399999999999999">
      <c r="I32" s="749" t="s">
        <v>4112</v>
      </c>
      <c r="J32" s="757" t="s">
        <v>4113</v>
      </c>
      <c r="K32" s="758">
        <f>ROUNDUP(SIN(ACOS((K21+K26-K27/2)/(K23^2+K24^2)^0.5)+ATAN(K24/K23))*K23-K24+K25,0)</f>
        <v>307</v>
      </c>
      <c r="L32" s="759" t="s">
        <v>2754</v>
      </c>
      <c r="M32" s="141"/>
      <c r="N32" s="752"/>
    </row>
    <row r="33" spans="9:14" ht="20.399999999999999">
      <c r="I33" s="760" t="s">
        <v>4114</v>
      </c>
      <c r="J33" s="761" t="s">
        <v>4115</v>
      </c>
      <c r="K33" s="762">
        <f>ROUNDUP(SIN(ACOS((K21-K27)/(K23^2+K24^2)^0.5)+ATAN(K24/K23))*K23-K24+K25+COS(ACOS((K21-K27)/(K23^2+K24^2)^0.5)+ATAN(K24/K23))*K24+K25,0)</f>
        <v>585</v>
      </c>
      <c r="L33" s="763" t="s">
        <v>2754</v>
      </c>
      <c r="M33" s="764"/>
      <c r="N33" s="765"/>
    </row>
    <row r="35" spans="9:14">
      <c r="I35" s="161" t="s">
        <v>4088</v>
      </c>
      <c r="J35" s="162"/>
      <c r="K35" s="162"/>
      <c r="L35" s="162"/>
      <c r="M35" s="162"/>
      <c r="N35" s="746" t="s">
        <v>4116</v>
      </c>
    </row>
    <row r="36" spans="9:14">
      <c r="I36" s="749" t="s">
        <v>4090</v>
      </c>
      <c r="J36" s="750" t="s">
        <v>4091</v>
      </c>
      <c r="K36" s="751">
        <f>B3</f>
        <v>1000</v>
      </c>
      <c r="L36" s="141" t="s">
        <v>2754</v>
      </c>
      <c r="M36" s="141"/>
      <c r="N36" s="752"/>
    </row>
    <row r="37" spans="9:14">
      <c r="I37" s="749" t="s">
        <v>489</v>
      </c>
      <c r="J37" s="750"/>
      <c r="K37" s="753" t="s">
        <v>2746</v>
      </c>
      <c r="L37" s="141"/>
      <c r="M37" s="141"/>
      <c r="N37" s="752"/>
    </row>
    <row r="38" spans="9:14" ht="15.6">
      <c r="I38" s="749" t="s">
        <v>4094</v>
      </c>
      <c r="J38" s="750" t="s">
        <v>4095</v>
      </c>
      <c r="K38" s="754">
        <f>K36+2*HLOOKUP(K37,$Q$5:$T$9,5,)</f>
        <v>1076</v>
      </c>
      <c r="L38" s="141" t="s">
        <v>2754</v>
      </c>
      <c r="M38" s="141"/>
      <c r="N38" s="752"/>
    </row>
    <row r="39" spans="9:14" ht="15.6">
      <c r="I39" s="749" t="s">
        <v>4097</v>
      </c>
      <c r="J39" s="750" t="s">
        <v>4098</v>
      </c>
      <c r="K39" s="754">
        <f>HLOOKUP(K37,$Q$5:$T$9,4,)</f>
        <v>215</v>
      </c>
      <c r="L39" s="141" t="s">
        <v>2754</v>
      </c>
      <c r="M39" s="141"/>
      <c r="N39" s="752"/>
    </row>
    <row r="40" spans="9:14" ht="15.6">
      <c r="I40" s="749" t="s">
        <v>4101</v>
      </c>
      <c r="J40" s="750" t="s">
        <v>4102</v>
      </c>
      <c r="K40" s="754">
        <f>HLOOKUP(K37,$Q$5:$T$9,3,)</f>
        <v>15</v>
      </c>
      <c r="L40" s="141" t="s">
        <v>2754</v>
      </c>
      <c r="M40" s="141"/>
      <c r="N40" s="752"/>
    </row>
    <row r="41" spans="9:14">
      <c r="I41" s="749" t="s">
        <v>4104</v>
      </c>
      <c r="J41" s="750" t="s">
        <v>4105</v>
      </c>
      <c r="K41" s="754">
        <f>HLOOKUP(K37,$Q$5:$T$10,6,)</f>
        <v>47</v>
      </c>
      <c r="L41" s="141" t="s">
        <v>2754</v>
      </c>
      <c r="M41" s="141"/>
      <c r="N41" s="752"/>
    </row>
    <row r="42" spans="9:14">
      <c r="I42" s="749" t="s">
        <v>4106</v>
      </c>
      <c r="J42" s="750" t="s">
        <v>4107</v>
      </c>
      <c r="K42" s="755">
        <v>5</v>
      </c>
      <c r="L42" s="141" t="s">
        <v>2754</v>
      </c>
      <c r="M42" s="141" t="s">
        <v>4108</v>
      </c>
      <c r="N42" s="752"/>
    </row>
    <row r="43" spans="9:14">
      <c r="I43" s="749"/>
      <c r="J43" s="141"/>
      <c r="K43" s="141"/>
      <c r="L43" s="141"/>
      <c r="M43" s="141"/>
      <c r="N43" s="752"/>
    </row>
    <row r="44" spans="9:14">
      <c r="I44" s="749"/>
      <c r="J44" s="750" t="s">
        <v>4109</v>
      </c>
      <c r="K44" s="141">
        <f>ACOS((K36+K41)/(K38^2+K39^2)^0.5)/PI()*180</f>
        <v>17.41031468175176</v>
      </c>
      <c r="L44" s="141" t="s">
        <v>2782</v>
      </c>
      <c r="M44" s="141"/>
      <c r="N44" s="752"/>
    </row>
    <row r="45" spans="9:14">
      <c r="I45" s="749"/>
      <c r="J45" s="750" t="s">
        <v>4110</v>
      </c>
      <c r="K45" s="141">
        <f>K44+ATAN(K39/K38)/PI()*180</f>
        <v>28.710006623349635</v>
      </c>
      <c r="L45" s="141" t="s">
        <v>2782</v>
      </c>
      <c r="M45" s="141"/>
      <c r="N45" s="752"/>
    </row>
    <row r="46" spans="9:14" ht="15.6">
      <c r="I46" s="749"/>
      <c r="J46" s="750" t="s">
        <v>4111</v>
      </c>
      <c r="K46" s="756">
        <f>SIN(K45/180*PI())*K38-K39+K40</f>
        <v>316.88531026425187</v>
      </c>
      <c r="L46" s="141"/>
      <c r="M46" s="141"/>
      <c r="N46" s="752"/>
    </row>
    <row r="47" spans="9:14" ht="20.399999999999999">
      <c r="I47" s="749" t="s">
        <v>4112</v>
      </c>
      <c r="J47" s="757" t="s">
        <v>4113</v>
      </c>
      <c r="K47" s="758">
        <f>ROUNDUP(SIN(ACOS((K36+K41-K42/2)/(K38^2+K39^2)^0.5)+ATAN(K39/K38))*K38-K39+K40,0)</f>
        <v>324</v>
      </c>
      <c r="L47" s="759" t="s">
        <v>2754</v>
      </c>
      <c r="M47" s="141"/>
      <c r="N47" s="752"/>
    </row>
    <row r="48" spans="9:14" ht="20.399999999999999">
      <c r="I48" s="760" t="s">
        <v>4114</v>
      </c>
      <c r="J48" s="761" t="s">
        <v>4115</v>
      </c>
      <c r="K48" s="762">
        <f>ROUNDUP(SIN(ACOS((K36-K42)/(K38^2+K39^2)^0.5)+ATAN(K39/K38))*K38-K39+K40+COS(ACOS((K36-K42)/(K38^2+K39^2)^0.5)+ATAN(K39/K38))*K39+K40,0)</f>
        <v>625</v>
      </c>
      <c r="L48" s="763" t="s">
        <v>2754</v>
      </c>
      <c r="M48" s="764"/>
      <c r="N48" s="765"/>
    </row>
  </sheetData>
  <sheetProtection selectLockedCells="1"/>
  <mergeCells count="4">
    <mergeCell ref="A1:D1"/>
    <mergeCell ref="A13:D13"/>
    <mergeCell ref="B3:D3"/>
    <mergeCell ref="Q4:T4"/>
  </mergeCells>
  <dataValidations disablePrompts="1" count="1">
    <dataValidation type="list" allowBlank="1" showInputMessage="1" showErrorMessage="1" sqref="K7 K22 K37" xr:uid="{00000000-0002-0000-0200-000000000000}">
      <formula1>$Q$5:$T$5</formula1>
    </dataValidation>
  </dataValidations>
  <pageMargins left="0.70866141732283472" right="0.70866141732283472" top="0.78740157480314965" bottom="0.78740157480314965" header="0.31496062992125984" footer="0.31496062992125984"/>
  <pageSetup paperSize="9" orientation="portrait" r:id="rId1"/>
  <headerFooter>
    <oddFooter>&amp;LAnwendungstechnik&amp;CStand: 29.01.2021&amp;RVersion: 21.00.04</oddFooter>
  </headerFooter>
  <drawing r:id="rId2"/>
  <legacyDrawing r:id="rId3"/>
  <oleObjects>
    <mc:AlternateContent xmlns:mc="http://schemas.openxmlformats.org/markup-compatibility/2006">
      <mc:Choice Requires="x14">
        <oleObject progId="AutoCAD.Drawing.24" shapeId="135171" r:id="rId4">
          <objectPr defaultSize="0" autoPict="0" r:id="rId5">
            <anchor moveWithCells="1" sizeWithCells="1">
              <from>
                <xdr:col>14</xdr:col>
                <xdr:colOff>594360</xdr:colOff>
                <xdr:row>10</xdr:row>
                <xdr:rowOff>121920</xdr:rowOff>
              </from>
              <to>
                <xdr:col>26</xdr:col>
                <xdr:colOff>182880</xdr:colOff>
                <xdr:row>28</xdr:row>
                <xdr:rowOff>175260</xdr:rowOff>
              </to>
            </anchor>
          </objectPr>
        </oleObject>
      </mc:Choice>
      <mc:Fallback>
        <oleObject progId="AutoCAD.Drawing.24" shapeId="13517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filterMode="1">
    <pageSetUpPr fitToPage="1"/>
  </sheetPr>
  <dimension ref="A1:ABS243"/>
  <sheetViews>
    <sheetView showGridLines="0" zoomScaleNormal="100" workbookViewId="0">
      <selection activeCell="E5" sqref="E5:J5"/>
    </sheetView>
  </sheetViews>
  <sheetFormatPr baseColWidth="10" defaultColWidth="11.44140625" defaultRowHeight="15" customHeight="1"/>
  <cols>
    <col min="1" max="1" width="3.6640625" style="28" customWidth="1"/>
    <col min="2" max="2" width="4.6640625" style="28" customWidth="1"/>
    <col min="3" max="3" width="8.6640625" style="28" customWidth="1"/>
    <col min="4" max="6" width="4.6640625" style="28" customWidth="1"/>
    <col min="7" max="7" width="6.6640625" style="28" customWidth="1"/>
    <col min="8" max="8" width="7.6640625" style="28" customWidth="1"/>
    <col min="9" max="12" width="4.6640625" style="28" customWidth="1"/>
    <col min="13" max="13" width="7.6640625" style="28" customWidth="1"/>
    <col min="14" max="14" width="6.6640625" style="28" customWidth="1"/>
    <col min="15" max="15" width="4.6640625" style="28" customWidth="1"/>
    <col min="16" max="16" width="5.6640625" style="28" customWidth="1"/>
    <col min="17" max="17" width="4.6640625" style="28" customWidth="1"/>
    <col min="18" max="18" width="9.6640625" style="28" customWidth="1"/>
    <col min="19" max="19" width="4.6640625" style="28" customWidth="1"/>
    <col min="20" max="20" width="11.6640625" style="28" customWidth="1"/>
    <col min="21" max="25" width="4.6640625" style="28" customWidth="1"/>
    <col min="26" max="26" width="5.6640625" style="28" customWidth="1"/>
    <col min="27" max="28" width="8.6640625" style="28" customWidth="1"/>
    <col min="29" max="29" width="4.6640625" style="28" customWidth="1"/>
    <col min="30" max="31" width="5.6640625" style="28" customWidth="1"/>
    <col min="32" max="32" width="4.6640625" style="28" customWidth="1"/>
    <col min="33" max="33" width="255.6640625" style="28" customWidth="1"/>
    <col min="34" max="34" width="11.44140625" style="28" customWidth="1"/>
    <col min="35" max="35" width="31.5546875" style="28" customWidth="1"/>
    <col min="36" max="36" width="4.6640625" style="28" customWidth="1"/>
    <col min="37" max="37" width="5.88671875" style="28" customWidth="1"/>
    <col min="38" max="38" width="7.109375" style="28" customWidth="1"/>
    <col min="39" max="39" width="7.5546875" style="28" customWidth="1"/>
    <col min="40" max="40" width="20.6640625" style="28" customWidth="1"/>
    <col min="41" max="42" width="6.33203125" style="422" customWidth="1"/>
    <col min="43" max="43" width="4.6640625" style="422" customWidth="1"/>
    <col min="44" max="44" width="3.44140625" style="422" customWidth="1"/>
    <col min="45" max="45" width="35.88671875" style="422" customWidth="1"/>
    <col min="46" max="46" width="83.5546875" style="28" customWidth="1"/>
    <col min="47" max="47" width="8.33203125" style="28" customWidth="1"/>
    <col min="48" max="48" width="19" style="497" customWidth="1"/>
    <col min="49" max="49" width="14.88671875" style="498" customWidth="1"/>
    <col min="50" max="50" width="22.44140625" style="493" customWidth="1"/>
    <col min="51" max="51" width="14.5546875" style="493" customWidth="1"/>
    <col min="52" max="52" width="9.109375" style="493" customWidth="1"/>
    <col min="53" max="53" width="78.5546875" style="493" customWidth="1"/>
    <col min="54" max="54" width="12" style="493" customWidth="1"/>
    <col min="55" max="55" width="10" style="493" customWidth="1"/>
    <col min="56" max="56" width="18.33203125" style="28" customWidth="1"/>
    <col min="57" max="57" width="16.6640625" style="28" customWidth="1"/>
    <col min="58" max="58" width="12.44140625" style="28" customWidth="1"/>
    <col min="59" max="62" width="22.44140625" style="28" customWidth="1"/>
    <col min="63" max="747" width="11.44140625" style="28" customWidth="1"/>
    <col min="748" max="16384" width="11.44140625" style="28"/>
  </cols>
  <sheetData>
    <row r="1" spans="1:56" ht="24.6">
      <c r="A1" s="422"/>
      <c r="AE1" s="97" t="str">
        <f>VLOOKUP("PREFA HOCHWASSERSCHUTZ SYSTEM",Sprachindex!$A:$Z,Haftungsausschluß!$O$6,FALSE)</f>
        <v>PREFA HOCHWASSERSCHUTZ SYSTEM</v>
      </c>
      <c r="AF1" s="422"/>
      <c r="AH1" s="558">
        <v>1</v>
      </c>
    </row>
    <row r="2" spans="1:56" ht="24.6">
      <c r="AE2" s="97" t="str">
        <f>VLOOKUP("KALKULATION",Sprachindex!$A:$Z,Haftungsausschluß!$O$6,FALSE) &amp;" " &amp; AH1</f>
        <v>KALKULATION 1</v>
      </c>
      <c r="AS2" s="423"/>
      <c r="AT2" s="41"/>
      <c r="AU2" s="41"/>
      <c r="AV2" s="499"/>
      <c r="AW2" s="500"/>
      <c r="AX2" s="114"/>
      <c r="AY2" s="114"/>
      <c r="AZ2" s="114"/>
      <c r="BA2" s="114"/>
      <c r="BB2" s="114"/>
      <c r="BC2" s="114"/>
      <c r="BD2" s="41"/>
    </row>
    <row r="3" spans="1:56" ht="14.4">
      <c r="AS3" s="423"/>
      <c r="AT3" s="41"/>
      <c r="AU3" s="41"/>
      <c r="AV3" s="499"/>
      <c r="AW3" s="500"/>
      <c r="AX3" s="114"/>
      <c r="AY3" s="114"/>
      <c r="AZ3" s="114"/>
      <c r="BA3" s="114"/>
      <c r="BB3" s="114"/>
      <c r="BC3" s="114"/>
      <c r="BD3" s="41"/>
    </row>
    <row r="4" spans="1:56" ht="14.4">
      <c r="C4" s="29"/>
      <c r="D4" s="29"/>
      <c r="E4" s="562" t="str">
        <f>VLOOKUP("Firma / Besteller:",Sprachindex!$A:$Z,Haftungsausschluß!$O$6,FALSE)</f>
        <v>Firma / Besteller:</v>
      </c>
      <c r="G4" s="30"/>
      <c r="H4" s="30"/>
      <c r="I4" s="30"/>
      <c r="J4" s="29"/>
      <c r="K4" s="29"/>
      <c r="L4" s="29"/>
      <c r="M4" s="29"/>
      <c r="N4" s="31"/>
      <c r="O4" s="29"/>
      <c r="P4" s="29"/>
      <c r="Q4" s="565" t="str">
        <f>VLOOKUP("Bearbeiter:",Sprachindex!A:Z,Haftungsausschluß!$O$6,FALSE)</f>
        <v>Bearbeiter:</v>
      </c>
      <c r="R4" s="970" t="str">
        <f>""</f>
        <v/>
      </c>
      <c r="S4" s="970"/>
      <c r="T4" s="970"/>
      <c r="U4" s="970"/>
      <c r="AC4" s="565" t="str">
        <f>VLOOKUP("Kundennummer:",Sprachindex!A:Z,Haftungsausschluß!$O$6,FALSE)</f>
        <v>Kundennummer:</v>
      </c>
      <c r="AD4" s="971" t="str">
        <f>""</f>
        <v/>
      </c>
      <c r="AE4" s="971"/>
      <c r="AS4" s="423"/>
      <c r="AT4" s="41"/>
      <c r="AU4" s="41"/>
      <c r="AV4" s="499"/>
      <c r="AW4" s="500"/>
      <c r="AX4" s="114"/>
      <c r="AY4" s="114"/>
      <c r="AZ4" s="114"/>
      <c r="BA4" s="114"/>
      <c r="BB4" s="114"/>
      <c r="BC4" s="114"/>
      <c r="BD4" s="41"/>
    </row>
    <row r="5" spans="1:56" ht="15" customHeight="1">
      <c r="C5" s="29"/>
      <c r="D5" s="32" t="str">
        <f>VLOOKUP("Name:",Sprachindex!$A:$Z,Haftungsausschluß!$O$6,FALSE)</f>
        <v>Name:</v>
      </c>
      <c r="E5" s="908" t="str">
        <f>IF(Erhebungsbogen!C8&gt;0,Erhebungsbogen!C8,"")</f>
        <v/>
      </c>
      <c r="F5" s="909"/>
      <c r="G5" s="909"/>
      <c r="H5" s="909"/>
      <c r="I5" s="909"/>
      <c r="J5" s="910"/>
      <c r="K5" s="29"/>
      <c r="L5" s="29"/>
      <c r="M5" s="33"/>
      <c r="N5" s="25" t="str">
        <f>VLOOKUP("Service:",Sprachindex!A:Z,Haftungsausschluß!$O$6,FALSE)</f>
        <v>Service:</v>
      </c>
      <c r="O5" s="26"/>
      <c r="P5" s="15" t="str">
        <f>VLOOKUP("Mengenermittlung/Anfrage",Sprachindex!A:Z,Haftungsausschluß!$O$6,FALSE)</f>
        <v>Mengenermittlung/Anfrage</v>
      </c>
      <c r="Q5" s="27"/>
      <c r="R5" s="26"/>
      <c r="S5" s="27"/>
      <c r="T5" s="26"/>
      <c r="U5" s="34"/>
      <c r="W5" s="47"/>
      <c r="X5" s="45"/>
      <c r="Y5" s="44"/>
      <c r="Z5" s="45"/>
      <c r="AA5" s="668"/>
      <c r="AB5" s="44"/>
      <c r="AC5" s="668"/>
      <c r="AD5" s="44"/>
      <c r="AE5" s="260"/>
      <c r="AS5" s="423"/>
      <c r="AT5" s="41"/>
      <c r="AU5" s="41"/>
      <c r="AV5" s="499"/>
      <c r="AW5" s="500"/>
      <c r="AX5" s="114"/>
      <c r="AY5" s="114"/>
      <c r="AZ5" s="114"/>
      <c r="BA5" s="114"/>
      <c r="BB5" s="114"/>
      <c r="BC5" s="114"/>
      <c r="BD5" s="41"/>
    </row>
    <row r="6" spans="1:56" ht="15" customHeight="1">
      <c r="C6" s="29"/>
      <c r="D6" s="32" t="str">
        <f>VLOOKUP("Straße:",Sprachindex!$A:$Z,Haftungsausschluß!$O$6,FALSE)</f>
        <v>Straße:</v>
      </c>
      <c r="E6" s="908" t="str">
        <f>IF(Erhebungsbogen!C10&gt;0,Erhebungsbogen!C10,"")</f>
        <v/>
      </c>
      <c r="F6" s="909"/>
      <c r="G6" s="909"/>
      <c r="H6" s="909"/>
      <c r="I6" s="909"/>
      <c r="J6" s="910"/>
      <c r="K6" s="29"/>
      <c r="L6" s="29"/>
      <c r="M6" s="36"/>
      <c r="N6" s="37"/>
      <c r="O6" s="38"/>
      <c r="P6" s="39" t="str">
        <f>VLOOKUP("Bestellung",Sprachindex!A:Z,Haftungsausschluß!$O$6,FALSE)</f>
        <v>Bestellung</v>
      </c>
      <c r="Q6" s="38"/>
      <c r="R6" s="38"/>
      <c r="S6" s="38"/>
      <c r="T6" s="37"/>
      <c r="U6" s="40"/>
      <c r="W6" s="47"/>
      <c r="X6" s="669"/>
      <c r="Y6" s="44"/>
      <c r="Z6" s="45"/>
      <c r="AA6" s="44"/>
      <c r="AB6" s="44"/>
      <c r="AC6" s="44"/>
      <c r="AD6" s="43"/>
      <c r="AE6" s="260"/>
      <c r="AS6" s="423"/>
      <c r="AT6" s="41"/>
      <c r="AU6" s="41"/>
      <c r="AV6" s="499"/>
      <c r="AW6" s="500"/>
      <c r="AX6" s="114"/>
      <c r="AY6" s="114"/>
      <c r="AZ6" s="114"/>
      <c r="BA6" s="114"/>
      <c r="BB6" s="114"/>
      <c r="BC6" s="114"/>
      <c r="BD6" s="41"/>
    </row>
    <row r="7" spans="1:56" ht="15" customHeight="1">
      <c r="C7" s="29"/>
      <c r="D7" s="32" t="str">
        <f>VLOOKUP("Ort:",Sprachindex!$A:$Z,Haftungsausschluß!$O$6,FALSE)</f>
        <v>Ort:</v>
      </c>
      <c r="E7" s="908" t="str">
        <f>IF(Erhebungsbogen!C12&gt;0,Erhebungsbogen!C12,"")</f>
        <v/>
      </c>
      <c r="F7" s="909"/>
      <c r="G7" s="909"/>
      <c r="H7" s="909"/>
      <c r="I7" s="909"/>
      <c r="J7" s="910"/>
      <c r="K7" s="29"/>
      <c r="L7" s="29"/>
      <c r="M7" s="41"/>
      <c r="N7" s="41"/>
      <c r="O7" s="41"/>
      <c r="P7" s="41"/>
      <c r="Q7" s="41"/>
      <c r="R7" s="41"/>
      <c r="S7" s="41"/>
      <c r="T7" s="41"/>
      <c r="U7" s="41"/>
      <c r="AI7" s="57"/>
      <c r="AL7" s="260"/>
      <c r="AM7" s="260"/>
      <c r="AN7" s="260"/>
      <c r="AS7" s="423"/>
      <c r="AT7" s="41"/>
      <c r="AU7" s="41"/>
      <c r="AV7" s="499"/>
      <c r="AW7" s="500"/>
      <c r="AX7" s="114"/>
      <c r="AY7" s="114"/>
      <c r="AZ7" s="114"/>
      <c r="BA7" s="114"/>
      <c r="BB7" s="114"/>
      <c r="BC7" s="114"/>
      <c r="BD7" s="41"/>
    </row>
    <row r="8" spans="1:56" ht="15" customHeight="1">
      <c r="D8" s="32" t="str">
        <f>VLOOKUP("Telefon:",Sprachindex!$A:$Z,Haftungsausschluß!$O$6,FALSE)</f>
        <v>Telefon:</v>
      </c>
      <c r="E8" s="908" t="str">
        <f>IF(Erhebungsbogen!C14&gt;0,Erhebungsbogen!C14,"")</f>
        <v/>
      </c>
      <c r="F8" s="909"/>
      <c r="G8" s="909"/>
      <c r="H8" s="909"/>
      <c r="I8" s="909"/>
      <c r="J8" s="910"/>
      <c r="M8" s="33"/>
      <c r="N8" s="25" t="str">
        <f>VLOOKUP("Farbe:",Sprachindex!A:Z,Haftungsausschluß!$O$6,FALSE)</f>
        <v>Farbe:</v>
      </c>
      <c r="O8" s="26"/>
      <c r="P8" s="27"/>
      <c r="Q8" s="264" t="str">
        <f>VLOOKUP("blank",Sprachindex!A:Z,Haftungsausschluß!$O$6,FALSE)</f>
        <v>blank</v>
      </c>
      <c r="R8" s="264"/>
      <c r="S8" s="27" t="str">
        <f>VLOOKUP("beschichtet",Sprachindex!A:Z,Haftungsausschluß!$O$6,FALSE)</f>
        <v>beschichtet</v>
      </c>
      <c r="T8" s="26"/>
      <c r="U8" s="34"/>
      <c r="W8" s="911" t="str">
        <f>VLOOKUP("Multiplikator",Sprachindex!$A:$Z,Haftungsausschluß!$O$6,FALSE)</f>
        <v>Multiplikator</v>
      </c>
      <c r="X8" s="911"/>
      <c r="Y8" s="911"/>
      <c r="Z8" s="911"/>
      <c r="AA8" s="911"/>
      <c r="AB8" s="911"/>
      <c r="AC8" s="911"/>
      <c r="AD8" s="911"/>
      <c r="AE8" s="911"/>
      <c r="AI8" s="57"/>
      <c r="AL8" s="260"/>
      <c r="AM8" s="260"/>
      <c r="AN8" s="260"/>
      <c r="AS8" s="423"/>
      <c r="AT8" s="41"/>
      <c r="AU8" s="41"/>
      <c r="AV8" s="499"/>
      <c r="AW8" s="500"/>
      <c r="AX8" s="114"/>
      <c r="AY8" s="114"/>
      <c r="AZ8" s="114"/>
      <c r="BA8" s="114"/>
      <c r="BB8" s="114"/>
      <c r="BC8" s="114"/>
      <c r="BD8" s="41"/>
    </row>
    <row r="9" spans="1:56" ht="15" customHeight="1">
      <c r="D9" s="32" t="str">
        <f>VLOOKUP("eMail:",Sprachindex!$A:$Z,Haftungsausschluß!$O$6,FALSE)</f>
        <v>eMail:</v>
      </c>
      <c r="E9" s="901" t="str">
        <f>IF(Erhebungsbogen!C16&gt;0,Erhebungsbogen!C16,"")</f>
        <v/>
      </c>
      <c r="F9" s="902"/>
      <c r="G9" s="902"/>
      <c r="H9" s="902"/>
      <c r="I9" s="902"/>
      <c r="J9" s="903"/>
      <c r="M9" s="42"/>
      <c r="N9" s="43"/>
      <c r="O9" s="44"/>
      <c r="P9" s="45"/>
      <c r="Q9" s="581" t="s">
        <v>1186</v>
      </c>
      <c r="R9" s="904">
        <f>Erhebungsbogen!C37</f>
        <v>0</v>
      </c>
      <c r="S9" s="904"/>
      <c r="T9" s="904"/>
      <c r="U9" s="905"/>
      <c r="W9" s="906" t="str">
        <f>VLOOKUP("Anzahl der gleichen Systeme:",Sprachindex!$A:$Z,Haftungsausschluß!$O$6,FALSE)</f>
        <v>Anzahl der gleichen Systeme:</v>
      </c>
      <c r="X9" s="907"/>
      <c r="Y9" s="907"/>
      <c r="Z9" s="907"/>
      <c r="AA9" s="907"/>
      <c r="AB9" s="907"/>
      <c r="AC9" s="907"/>
      <c r="AD9" s="907"/>
      <c r="AE9" s="46">
        <f>IF(Erhebungsbogen!C31=0,1,Erhebungsbogen!C31)</f>
        <v>1</v>
      </c>
      <c r="AH9" s="28" t="str">
        <f>VLOOKUP("Bodenhülse",Sprachindex!$A:$Z,Haftungsausschluß!$O$6,FALSE)</f>
        <v>Bodenhülse</v>
      </c>
      <c r="AM9" s="260"/>
      <c r="AN9" s="260"/>
      <c r="AS9" s="423"/>
      <c r="AT9" s="41"/>
      <c r="AU9" s="41"/>
      <c r="AV9" s="499"/>
      <c r="AW9" s="500"/>
      <c r="AX9" s="114"/>
      <c r="AY9" s="114"/>
      <c r="AZ9" s="114"/>
      <c r="BA9" s="114"/>
      <c r="BB9" s="114"/>
      <c r="BC9" s="114"/>
      <c r="BD9" s="41"/>
    </row>
    <row r="10" spans="1:56" ht="15" customHeight="1">
      <c r="D10" s="32" t="str">
        <f>VLOOKUP("Kommission:",Sprachindex!$A:$Z,Haftungsausschluß!$O$6,FALSE)</f>
        <v>Kommission:</v>
      </c>
      <c r="E10" s="908" t="str">
        <f>IF(Erhebungsbogen!C18&gt;0,Erhebungsbogen!C18,"")</f>
        <v/>
      </c>
      <c r="F10" s="909"/>
      <c r="G10" s="909"/>
      <c r="H10" s="909"/>
      <c r="I10" s="909"/>
      <c r="J10" s="910"/>
      <c r="M10" s="858" t="str">
        <f>VLOOKUP("Beschichtung",Sprachindex!$A:$Z,Haftungsausschluß!$O$6,FALSE)</f>
        <v>Beschichtung</v>
      </c>
      <c r="N10" s="859"/>
      <c r="O10" s="859"/>
      <c r="P10" s="859"/>
      <c r="Q10" s="860"/>
      <c r="R10" s="918" t="str">
        <f>"     " &amp;VLOOKUP("Abdeckung",Sprachindex!$A:$Z,Haftungsausschluß!$O$6,FALSE)</f>
        <v xml:space="preserve">     Abdeckung</v>
      </c>
      <c r="S10" s="919"/>
      <c r="T10" s="919"/>
      <c r="U10" s="920"/>
      <c r="W10" s="921" t="str">
        <f>VLOOKUP("Ausführungsart",Sprachindex!$A:$Z,Haftungsausschluß!$O$6,FALSE)</f>
        <v>Ausführungsart</v>
      </c>
      <c r="X10" s="921"/>
      <c r="Y10" s="921"/>
      <c r="Z10" s="921"/>
      <c r="AA10" s="921"/>
      <c r="AB10" s="921"/>
      <c r="AC10" s="921"/>
      <c r="AD10" s="921"/>
      <c r="AE10" s="921"/>
      <c r="AH10" s="493">
        <v>1</v>
      </c>
      <c r="AI10" s="260"/>
      <c r="AL10" s="57"/>
      <c r="AM10" s="57"/>
      <c r="AN10" s="57"/>
      <c r="AS10" s="423"/>
      <c r="AT10" s="41"/>
      <c r="AU10" s="41"/>
      <c r="AV10" s="499"/>
      <c r="AW10" s="500"/>
      <c r="AX10" s="114"/>
      <c r="AY10" s="114"/>
      <c r="AZ10" s="114"/>
      <c r="BA10" s="114"/>
      <c r="BB10" s="114"/>
      <c r="BC10" s="114"/>
      <c r="BD10" s="41"/>
    </row>
    <row r="11" spans="1:56" ht="15" customHeight="1">
      <c r="C11" s="921" t="str">
        <f>VLOOKUP("Montageart",Sprachindex!$A:$Z,Haftungsausschluß!$O$6,FALSE)</f>
        <v>Montageart</v>
      </c>
      <c r="D11" s="921"/>
      <c r="E11" s="921"/>
      <c r="F11" s="921"/>
      <c r="G11" s="921"/>
      <c r="H11" s="921"/>
      <c r="I11" s="921"/>
      <c r="J11" s="921"/>
      <c r="M11" s="912"/>
      <c r="N11" s="913"/>
      <c r="O11" s="913"/>
      <c r="P11" s="913"/>
      <c r="Q11" s="914"/>
      <c r="R11" s="862" t="str">
        <f>"     " &amp;VLOOKUP("Wandprofil",Sprachindex!$A:$Z,Haftungsausschluß!$O$6,FALSE)</f>
        <v xml:space="preserve">     Wandprofil</v>
      </c>
      <c r="S11" s="862"/>
      <c r="T11" s="862"/>
      <c r="U11" s="863"/>
      <c r="V11" s="41"/>
      <c r="W11" s="925" t="str">
        <f>VLOOKUP("Bodenhülsendeckel",Sprachindex!$A:$Z,Haftungsausschluß!$O$6,FALSE)</f>
        <v>Bodenhülsendeckel</v>
      </c>
      <c r="X11" s="926"/>
      <c r="Y11" s="926"/>
      <c r="Z11" s="926"/>
      <c r="AA11" s="927"/>
      <c r="AB11" s="274" t="str">
        <f>"     " &amp;VLOOKUP("Aluminium",Sprachindex!$A:$Z,Haftungsausschluß!$O$6,FALSE)</f>
        <v xml:space="preserve">     Aluminium</v>
      </c>
      <c r="AC11" s="275"/>
      <c r="AD11" s="275"/>
      <c r="AE11" s="276"/>
      <c r="AF11" s="41"/>
      <c r="AG11" s="41"/>
      <c r="AI11" s="57"/>
      <c r="AL11" s="57"/>
      <c r="AM11" s="57"/>
      <c r="AN11" s="57"/>
      <c r="AO11" s="423"/>
      <c r="AP11" s="423"/>
      <c r="AQ11" s="423"/>
      <c r="AR11" s="423"/>
      <c r="AS11" s="423"/>
      <c r="AT11" s="41"/>
      <c r="AU11" s="41"/>
      <c r="AV11" s="499"/>
      <c r="AW11" s="500"/>
      <c r="AX11" s="114"/>
      <c r="AY11" s="114"/>
      <c r="AZ11" s="114"/>
      <c r="BA11" s="114"/>
      <c r="BB11" s="114"/>
      <c r="BC11" s="114"/>
      <c r="BD11" s="41"/>
    </row>
    <row r="12" spans="1:56" ht="14.4">
      <c r="C12" s="923" t="str">
        <f>VLOOKUP("Links",Sprachindex!$A:$Z,Haftungsausschluß!$O$6,FALSE)</f>
        <v>Links</v>
      </c>
      <c r="D12" s="923"/>
      <c r="E12" s="923"/>
      <c r="F12" s="923"/>
      <c r="G12" s="923" t="str">
        <f>VLOOKUP("Rechts",Sprachindex!$A:$Z,Haftungsausschluß!$O$6,FALSE)</f>
        <v>Rechts</v>
      </c>
      <c r="H12" s="923"/>
      <c r="I12" s="923"/>
      <c r="J12" s="923"/>
      <c r="M12" s="912"/>
      <c r="N12" s="913"/>
      <c r="O12" s="913"/>
      <c r="P12" s="913"/>
      <c r="Q12" s="914"/>
      <c r="R12" s="880" t="str">
        <f>"     " &amp;VLOOKUP("Dammbalken",Sprachindex!$A:$Z,Haftungsausschluß!$O$6,FALSE)</f>
        <v xml:space="preserve">     Dammbalken</v>
      </c>
      <c r="S12" s="880"/>
      <c r="T12" s="880"/>
      <c r="U12" s="922"/>
      <c r="V12" s="41"/>
      <c r="W12" s="928"/>
      <c r="X12" s="929"/>
      <c r="Y12" s="929"/>
      <c r="Z12" s="929"/>
      <c r="AA12" s="930"/>
      <c r="AB12" s="273" t="str">
        <f>"     " &amp;VLOOKUP("Edelstahl (verriegelbar)",Sprachindex!$A:$Z,Haftungsausschluß!$O$6,FALSE)</f>
        <v xml:space="preserve">     Edelstahl (verriegelbar)</v>
      </c>
      <c r="AC12" s="277"/>
      <c r="AD12" s="277"/>
      <c r="AE12" s="278"/>
      <c r="AF12" s="41"/>
      <c r="AG12" s="41"/>
      <c r="AH12" s="260" t="str">
        <f>VLOOKUP("Abdeckung",Sprachindex!$A:$Z,Haftungsausschluß!$O$6,FALSE)</f>
        <v>Abdeckung</v>
      </c>
      <c r="AI12" s="57"/>
      <c r="AL12" s="57"/>
      <c r="AM12" s="57"/>
      <c r="AN12" s="57"/>
      <c r="AO12" s="423"/>
      <c r="AP12" s="423"/>
      <c r="AQ12" s="423"/>
      <c r="AR12" s="423"/>
      <c r="AS12" s="423"/>
      <c r="AT12" s="41"/>
      <c r="AU12" s="41"/>
      <c r="AV12" s="499"/>
      <c r="AW12" s="500"/>
      <c r="AX12" s="114"/>
      <c r="AY12" s="114"/>
      <c r="AZ12" s="114"/>
      <c r="BA12" s="114"/>
      <c r="BB12" s="114"/>
      <c r="BC12" s="114"/>
      <c r="BD12" s="41"/>
    </row>
    <row r="13" spans="1:56" ht="14.4">
      <c r="C13" s="931"/>
      <c r="D13" s="931"/>
      <c r="E13" s="931"/>
      <c r="F13" s="931"/>
      <c r="G13" s="931"/>
      <c r="H13" s="931"/>
      <c r="I13" s="931"/>
      <c r="J13" s="931"/>
      <c r="K13" s="47"/>
      <c r="M13" s="915"/>
      <c r="N13" s="916"/>
      <c r="O13" s="916"/>
      <c r="P13" s="916"/>
      <c r="Q13" s="917"/>
      <c r="R13" s="875" t="str">
        <f>"     " &amp;VLOOKUP("Lagerabdeckung",Sprachindex!$A:$Z,Haftungsausschluß!$O$6,FALSE)</f>
        <v xml:space="preserve">     Lagerabdeckung</v>
      </c>
      <c r="S13" s="876"/>
      <c r="T13" s="876"/>
      <c r="U13" s="924"/>
      <c r="V13" s="41"/>
      <c r="W13" s="934" t="str">
        <f>VLOOKUP("Abdeckung",Sprachindex!$A:$Z,Haftungsausschluß!$O$6,FALSE)</f>
        <v>Abdeckung</v>
      </c>
      <c r="X13" s="935"/>
      <c r="Y13" s="935"/>
      <c r="Z13" s="935"/>
      <c r="AA13" s="936"/>
      <c r="AB13" s="943" t="str">
        <f>"     " &amp;VLOOKUP("keine",Sprachindex!$A:$Z,Haftungsausschluß!$O$6,FALSE)</f>
        <v xml:space="preserve">     keine</v>
      </c>
      <c r="AC13" s="943"/>
      <c r="AD13" s="943"/>
      <c r="AE13" s="943"/>
      <c r="AF13" s="41"/>
      <c r="AG13" s="41"/>
      <c r="AH13" s="114">
        <f>IF(Erhebungsbogen!$P$21=1,2,IF(Erhebungsbogen!$P$21=2,3,1))</f>
        <v>3</v>
      </c>
      <c r="AI13" s="57"/>
      <c r="AK13" s="41"/>
      <c r="AL13" s="41"/>
      <c r="AM13" s="41"/>
      <c r="AN13" s="41"/>
      <c r="AO13" s="423"/>
      <c r="AP13" s="423"/>
      <c r="AQ13" s="423"/>
      <c r="AR13" s="423"/>
      <c r="AS13" s="423"/>
      <c r="AT13" s="41"/>
      <c r="AU13" s="41"/>
      <c r="AV13" s="499"/>
      <c r="AW13" s="500"/>
      <c r="AX13" s="114"/>
      <c r="AY13" s="114"/>
      <c r="AZ13" s="114"/>
      <c r="BA13" s="114"/>
      <c r="BB13" s="114"/>
      <c r="BC13" s="114"/>
      <c r="BD13" s="41"/>
    </row>
    <row r="14" spans="1:56" ht="14.4">
      <c r="C14" s="931"/>
      <c r="D14" s="931"/>
      <c r="E14" s="931"/>
      <c r="F14" s="931"/>
      <c r="G14" s="931"/>
      <c r="H14" s="931"/>
      <c r="I14" s="931"/>
      <c r="J14" s="931"/>
      <c r="K14" s="47"/>
      <c r="V14" s="41"/>
      <c r="W14" s="937"/>
      <c r="X14" s="938"/>
      <c r="Y14" s="938"/>
      <c r="Z14" s="938"/>
      <c r="AA14" s="939"/>
      <c r="AB14" s="944" t="str">
        <f>"     " &amp;VLOOKUP("Gerade V",Sprachindex!$A:$Z,Haftungsausschluß!$O$6,FALSE)</f>
        <v xml:space="preserve">     Gerade V</v>
      </c>
      <c r="AC14" s="944"/>
      <c r="AD14" s="944"/>
      <c r="AE14" s="944"/>
      <c r="AF14" s="41"/>
      <c r="AG14" s="41"/>
      <c r="AH14" s="41"/>
      <c r="AI14" s="41"/>
      <c r="AK14" s="41"/>
      <c r="AL14" s="41"/>
      <c r="AM14" s="41"/>
      <c r="AN14" s="41"/>
      <c r="AO14" s="423"/>
      <c r="AP14" s="423"/>
      <c r="AQ14" s="423"/>
      <c r="AR14" s="423"/>
      <c r="AS14" s="423"/>
      <c r="AT14" s="41"/>
      <c r="AU14" s="41"/>
      <c r="AV14" s="499"/>
      <c r="AW14" s="500"/>
      <c r="AX14" s="114"/>
      <c r="AY14" s="114"/>
      <c r="AZ14" s="114"/>
      <c r="BA14" s="114"/>
      <c r="BB14" s="114"/>
      <c r="BC14" s="114"/>
      <c r="BD14" s="41"/>
    </row>
    <row r="15" spans="1:56" ht="14.4">
      <c r="C15" s="932"/>
      <c r="D15" s="932"/>
      <c r="E15" s="932"/>
      <c r="F15" s="932"/>
      <c r="G15" s="932"/>
      <c r="H15" s="932"/>
      <c r="I15" s="932"/>
      <c r="J15" s="932"/>
      <c r="M15" s="933" t="str">
        <f>VLOOKUP("System 25:",Sprachindex!$A:$Z,Haftungsausschluß!$O$6,FALSE)</f>
        <v>System 25:</v>
      </c>
      <c r="N15" s="933"/>
      <c r="O15" s="933"/>
      <c r="P15" s="933" t="str">
        <f>VLOOKUP("System 50:",Sprachindex!$A:$Z,Haftungsausschluß!$O$6,FALSE)</f>
        <v>System 50:</v>
      </c>
      <c r="Q15" s="933"/>
      <c r="R15" s="933"/>
      <c r="S15" s="933" t="str">
        <f>VLOOKUP("System 80:",Sprachindex!$A:$Z,Haftungsausschluß!$O$6,FALSE)</f>
        <v>System 80:</v>
      </c>
      <c r="T15" s="933"/>
      <c r="U15" s="933"/>
      <c r="W15" s="940"/>
      <c r="X15" s="941"/>
      <c r="Y15" s="941"/>
      <c r="Z15" s="941"/>
      <c r="AA15" s="942"/>
      <c r="AB15" s="900" t="str">
        <f>"     " &amp;VLOOKUP("Winkelabdeckung VO",Sprachindex!$A:$Z,Haftungsausschluß!$O$6,FALSE)</f>
        <v xml:space="preserve">     Winkelabdeckung VO</v>
      </c>
      <c r="AC15" s="900"/>
      <c r="AD15" s="900"/>
      <c r="AE15" s="900"/>
      <c r="AH15" s="28" t="str">
        <f>VLOOKUP("Zubehör",Sprachindex!$A:$Z,Haftungsausschluß!$O$6,FALSE)</f>
        <v>Zubehör</v>
      </c>
      <c r="AS15" s="423"/>
      <c r="AT15" s="41"/>
      <c r="AU15" s="41"/>
      <c r="AV15" s="499"/>
      <c r="AW15" s="500"/>
      <c r="AX15" s="114"/>
      <c r="AY15" s="114"/>
      <c r="AZ15" s="114"/>
      <c r="BA15" s="114"/>
      <c r="BB15" s="114"/>
      <c r="BC15" s="114"/>
      <c r="BD15" s="41"/>
    </row>
    <row r="16" spans="1:56" ht="14.4">
      <c r="C16" s="861" t="str">
        <f>VLOOKUP("Vor der Leibung",Sprachindex!$A:$Z,Haftungsausschluß!$O$6,FALSE)</f>
        <v>Vor der Leibung</v>
      </c>
      <c r="D16" s="862"/>
      <c r="E16" s="862"/>
      <c r="F16" s="862"/>
      <c r="G16" s="861" t="str">
        <f>VLOOKUP("Vor der Leibung",Sprachindex!$A:$Z,Haftungsausschluß!$O$6,FALSE)</f>
        <v>Vor der Leibung</v>
      </c>
      <c r="H16" s="862"/>
      <c r="I16" s="862"/>
      <c r="J16" s="863"/>
      <c r="M16" s="897" t="s">
        <v>2742</v>
      </c>
      <c r="N16" s="898"/>
      <c r="O16" s="899"/>
      <c r="P16" s="897" t="str">
        <f>VLOOKUP("50/150mm",Sprachindex!$A:$Z,Haftungsausschluß!$O$6,FALSE)</f>
        <v>50/150mm</v>
      </c>
      <c r="Q16" s="898"/>
      <c r="R16" s="899"/>
      <c r="S16" s="897" t="s">
        <v>2742</v>
      </c>
      <c r="T16" s="898"/>
      <c r="U16" s="899"/>
      <c r="AH16" s="493" t="b">
        <v>0</v>
      </c>
      <c r="AI16" s="261" t="str">
        <f>VLOOKUP("Sicherungsschraube Abdeckung:",Sprachindex!$A:$Z,Haftungsausschluß!$O$6,FALSE)</f>
        <v>Sicherungsschraube Abdeckung:</v>
      </c>
      <c r="AK16" s="28" t="s">
        <v>991</v>
      </c>
      <c r="AL16" s="28" t="s">
        <v>1198</v>
      </c>
      <c r="AM16" s="28" t="s">
        <v>2831</v>
      </c>
      <c r="AN16" s="28" t="s">
        <v>2833</v>
      </c>
      <c r="AO16" s="422" t="s">
        <v>2836</v>
      </c>
      <c r="AP16" s="22" t="s">
        <v>2837</v>
      </c>
      <c r="AS16" s="423"/>
      <c r="AT16" s="41"/>
      <c r="AU16" s="41"/>
      <c r="AV16" s="499" t="s">
        <v>2832</v>
      </c>
      <c r="AW16" s="500"/>
      <c r="AX16" s="114"/>
      <c r="AY16" s="114"/>
      <c r="AZ16" s="114"/>
      <c r="BA16" s="114"/>
      <c r="BB16" s="114"/>
      <c r="BC16" s="114"/>
      <c r="BD16" s="41"/>
    </row>
    <row r="17" spans="1:62" ht="14.4">
      <c r="B17" s="49"/>
      <c r="C17" s="279" t="str">
        <f>VLOOKUP("In der Leibung",Sprachindex!$A:$Z,Haftungsausschluß!$O$6,FALSE)</f>
        <v>In der Leibung</v>
      </c>
      <c r="D17" s="258"/>
      <c r="E17" s="258"/>
      <c r="F17" s="258"/>
      <c r="G17" s="279" t="str">
        <f>VLOOKUP("In der Leibung",Sprachindex!$A:$Z,Haftungsausschluß!$O$6,FALSE)</f>
        <v>In der Leibung</v>
      </c>
      <c r="H17" s="258"/>
      <c r="I17" s="258"/>
      <c r="J17" s="259"/>
      <c r="M17" s="864" t="str">
        <f>VLOOKUP("25/200mm",Sprachindex!$A:$Z,Haftungsausschluß!$O$6,FALSE)</f>
        <v>25/200mm</v>
      </c>
      <c r="N17" s="865"/>
      <c r="O17" s="866"/>
      <c r="P17" s="864" t="str">
        <f>VLOOKUP("50/200mm",Sprachindex!$A:$Z,Haftungsausschluß!$O$6,FALSE)</f>
        <v>50/200mm</v>
      </c>
      <c r="Q17" s="865"/>
      <c r="R17" s="866"/>
      <c r="S17" s="864" t="str">
        <f>VLOOKUP("80/200mm",Sprachindex!$A:$Z,Haftungsausschluß!$O$6,FALSE)</f>
        <v>80/200mm</v>
      </c>
      <c r="T17" s="865"/>
      <c r="U17" s="866"/>
      <c r="W17" s="867" t="str">
        <f>VLOOKUP("Zubehör",Sprachindex!$A:$Z,Haftungsausschluß!$O$6,FALSE)</f>
        <v>Zubehör</v>
      </c>
      <c r="X17" s="868"/>
      <c r="Y17" s="868"/>
      <c r="Z17" s="868"/>
      <c r="AA17" s="868"/>
      <c r="AB17" s="868"/>
      <c r="AC17" s="868"/>
      <c r="AD17" s="868"/>
      <c r="AE17" s="869"/>
      <c r="AH17" s="493" t="b">
        <v>0</v>
      </c>
      <c r="AI17" s="261" t="str">
        <f>VLOOKUP("Niederhalter Dammbalken:max.1750",Sprachindex!$A:$Z,Haftungsausschluß!$O$6,FALSE)</f>
        <v>Niederhalter Dammbalken:max.1750</v>
      </c>
      <c r="AK17" s="493">
        <f>Erhebungsbogen!$O$21</f>
        <v>1</v>
      </c>
      <c r="AL17" s="493">
        <f>Erhebungsbogen!$O$21</f>
        <v>1</v>
      </c>
      <c r="AM17" s="493">
        <v>3</v>
      </c>
      <c r="AN17" s="493">
        <v>1</v>
      </c>
      <c r="AO17" s="559">
        <v>2</v>
      </c>
      <c r="AP17" s="560">
        <v>1</v>
      </c>
      <c r="AS17" s="423"/>
      <c r="AT17" s="41"/>
      <c r="AU17" s="41"/>
      <c r="AV17" s="499">
        <v>1</v>
      </c>
      <c r="AW17" s="500"/>
      <c r="AX17" s="114"/>
      <c r="AY17" s="114"/>
      <c r="AZ17" s="114"/>
      <c r="BA17" s="114"/>
      <c r="BB17" s="114"/>
      <c r="BC17" s="114"/>
      <c r="BD17" s="41"/>
    </row>
    <row r="18" spans="1:62" ht="14.4">
      <c r="B18" s="49"/>
      <c r="C18" s="280" t="str">
        <f>VLOOKUP("Bündig",Sprachindex!$A:$Z,Haftungsausschluß!$O$6,FALSE)</f>
        <v>Bündig</v>
      </c>
      <c r="D18" s="256"/>
      <c r="E18" s="256"/>
      <c r="F18" s="256"/>
      <c r="G18" s="280" t="str">
        <f>VLOOKUP("Bündig",Sprachindex!$A:$Z,Haftungsausschluß!$O$6,FALSE)</f>
        <v>Bündig</v>
      </c>
      <c r="H18" s="256"/>
      <c r="I18" s="256"/>
      <c r="J18" s="257"/>
      <c r="W18" s="269" t="str">
        <f>"     " &amp;VLOOKUP("Sicherungsschraube Abdeckung:",Sprachindex!$A:$Z,Haftungsausschluß!$O$6,FALSE)</f>
        <v xml:space="preserve">     Sicherungsschraube Abdeckung:</v>
      </c>
      <c r="X18" s="59"/>
      <c r="Y18" s="59"/>
      <c r="Z18" s="59"/>
      <c r="AA18" s="59"/>
      <c r="AB18" s="59"/>
      <c r="AC18" s="59"/>
      <c r="AD18" s="59"/>
      <c r="AE18" s="267"/>
      <c r="AH18" s="493" t="b">
        <f>IF(Erhebungsbogen!P29=1,TRUE,FALSE)</f>
        <v>1</v>
      </c>
      <c r="AI18" s="261" t="str">
        <f>VLOOKUP("Spannstück mit Sterngriff:",Sprachindex!$A:$Z,Haftungsausschluß!$O$6,FALSE)</f>
        <v>Spannstück mit Sterngriff:</v>
      </c>
      <c r="AS18" s="423"/>
      <c r="AT18" s="41"/>
      <c r="AU18" s="41"/>
      <c r="AV18" s="499"/>
      <c r="AW18" s="500"/>
      <c r="AX18" s="114"/>
      <c r="AY18" s="114"/>
      <c r="AZ18" s="114"/>
      <c r="BA18" s="114"/>
      <c r="BB18" s="114"/>
      <c r="BC18" s="114"/>
      <c r="BD18" s="41"/>
    </row>
    <row r="19" spans="1:62" ht="14.4">
      <c r="B19" s="49"/>
      <c r="M19" s="858" t="str">
        <f>VLOOKUP("Rundprofil",Sprachindex!$A:$Z,Haftungsausschluß!$O$6,FALSE)</f>
        <v>Rundprofil</v>
      </c>
      <c r="N19" s="859"/>
      <c r="O19" s="859"/>
      <c r="P19" s="859"/>
      <c r="Q19" s="859"/>
      <c r="R19" s="859"/>
      <c r="S19" s="859"/>
      <c r="T19" s="859"/>
      <c r="U19" s="860"/>
      <c r="W19" s="270" t="str">
        <f>"     " &amp;VLOOKUP("Niederhalter Dammbalken:max.1750",Sprachindex!$A:$Z,Haftungsausschluß!$O$6,FALSE)</f>
        <v xml:space="preserve">     Niederhalter Dammbalken:max.1750</v>
      </c>
      <c r="X19" s="61"/>
      <c r="Y19" s="61"/>
      <c r="Z19" s="61"/>
      <c r="AA19" s="61"/>
      <c r="AB19" s="61"/>
      <c r="AC19" s="62"/>
      <c r="AD19" s="63" t="str">
        <f>VLOOKUP("Stk",Sprachindex!$A:$Z,Haftungsausschluß!$O$6,FALSE)</f>
        <v>Stk</v>
      </c>
      <c r="AE19" s="648"/>
      <c r="AH19" s="493" t="b">
        <f>IF(Erhebungsbogen!P29=2,TRUE,FALSE)</f>
        <v>0</v>
      </c>
      <c r="AI19" s="261" t="str">
        <f>VLOOKUP("Spannstück mit 6-Kantschraube:",Sprachindex!$A:$Z,Haftungsausschluß!$O$6,FALSE)</f>
        <v>Spannstück mit 6-Kantschraube:</v>
      </c>
      <c r="AK19" s="28" t="s">
        <v>2834</v>
      </c>
      <c r="AS19" s="423"/>
      <c r="AT19" s="41"/>
      <c r="AU19" s="41"/>
      <c r="AV19" s="499"/>
      <c r="AW19" s="500"/>
      <c r="AX19" s="114"/>
      <c r="AY19" s="114"/>
      <c r="AZ19" s="114"/>
      <c r="BA19" s="114"/>
      <c r="BB19" s="114"/>
      <c r="BC19" s="114"/>
      <c r="BD19" s="41"/>
    </row>
    <row r="20" spans="1:62" ht="15" customHeight="1">
      <c r="C20" s="867" t="str">
        <f>VLOOKUP("Dateneingabe",Sprachindex!$A:$Z,Haftungsausschluß!$O$6,FALSE)</f>
        <v>Dateneingabe</v>
      </c>
      <c r="D20" s="868"/>
      <c r="E20" s="868"/>
      <c r="F20" s="868"/>
      <c r="G20" s="868"/>
      <c r="H20" s="868"/>
      <c r="I20" s="868"/>
      <c r="J20" s="869"/>
      <c r="M20" s="51"/>
      <c r="N20" s="52" t="str">
        <f>VLOOKUP("Rundprofil",Sprachindex!$A:$Z,Haftungsausschluß!$O$6,FALSE)</f>
        <v>Rundprofil</v>
      </c>
      <c r="O20" s="53"/>
      <c r="P20" s="53"/>
      <c r="Q20" s="53"/>
      <c r="R20" s="96"/>
      <c r="S20" s="54"/>
      <c r="T20" s="54"/>
      <c r="U20" s="35"/>
      <c r="W20" s="270" t="str">
        <f>"     " &amp;VLOOKUP("Spannstück mit Sterngriff:",Sprachindex!$A:$Z,Haftungsausschluß!$O$6,FALSE)</f>
        <v xml:space="preserve">     Spannstück mit Sterngriff:</v>
      </c>
      <c r="X20" s="61"/>
      <c r="Y20" s="61"/>
      <c r="Z20" s="61"/>
      <c r="AA20" s="61"/>
      <c r="AB20" s="61"/>
      <c r="AC20" s="61"/>
      <c r="AD20" s="61"/>
      <c r="AE20" s="647"/>
      <c r="AH20" s="493" t="b">
        <f>Erhebungsbogen!P54</f>
        <v>0</v>
      </c>
      <c r="AI20" s="261" t="str">
        <f>VLOOKUP("Dauerbodendichtung:",Sprachindex!$A:$Z,Haftungsausschluß!$O$6,FALSE)</f>
        <v>Dauerbodendichtung:</v>
      </c>
      <c r="AK20" s="260"/>
      <c r="AL20" s="260"/>
      <c r="AM20" s="260"/>
      <c r="AN20" s="260"/>
      <c r="AS20" s="423"/>
      <c r="AT20" s="41"/>
      <c r="AU20" s="41"/>
      <c r="AV20" s="499"/>
      <c r="AW20" s="500"/>
      <c r="AX20" s="114"/>
      <c r="AY20" s="114"/>
      <c r="AZ20" s="114"/>
      <c r="BA20" s="114"/>
      <c r="BB20" s="114"/>
      <c r="BC20" s="114"/>
      <c r="BD20" s="41"/>
      <c r="BE20" s="55"/>
      <c r="BF20" s="55"/>
      <c r="BG20" s="55"/>
      <c r="BH20" s="55"/>
      <c r="BI20" s="55"/>
      <c r="BJ20" s="55"/>
    </row>
    <row r="21" spans="1:62" ht="15" customHeight="1">
      <c r="C21" s="870" t="str">
        <f>VLOOKUP("Lichteweite [mm]:",Sprachindex!$A:$Z,Haftungsausschluß!$O$6,FALSE)</f>
        <v>Lichteweite [mm]:</v>
      </c>
      <c r="D21" s="871"/>
      <c r="E21" s="871"/>
      <c r="F21" s="871"/>
      <c r="G21" s="871"/>
      <c r="H21" s="872"/>
      <c r="I21" s="873">
        <f>Erhebungsbogen!C24</f>
        <v>0</v>
      </c>
      <c r="J21" s="874"/>
      <c r="M21" s="56"/>
      <c r="N21" s="57" t="str">
        <f>VLOOKUP("Rundprofil Groß",Sprachindex!$A:$Z,Haftungsausschluß!$O$6,FALSE)</f>
        <v>Rundprofil Groß</v>
      </c>
      <c r="O21" s="57"/>
      <c r="P21" s="57"/>
      <c r="Q21" s="727" t="str">
        <f>VLOOKUP("Stk",Sprachindex!$A:$Z,Haftungsausschluß!$O$6,FALSE)</f>
        <v>Stk</v>
      </c>
      <c r="R21" s="42"/>
      <c r="S21" s="47"/>
      <c r="T21" s="47"/>
      <c r="U21" s="58"/>
      <c r="W21" s="270" t="str">
        <f>"     " &amp;VLOOKUP("Spannstück mit 6-Kantschraube:",Sprachindex!$A:$Z,Haftungsausschluß!$O$6,FALSE)</f>
        <v xml:space="preserve">     Spannstück mit 6-Kantschraube:</v>
      </c>
      <c r="X21" s="61"/>
      <c r="Y21" s="61"/>
      <c r="Z21" s="61"/>
      <c r="AA21" s="61"/>
      <c r="AB21" s="61"/>
      <c r="AC21" s="61"/>
      <c r="AD21" s="61"/>
      <c r="AE21" s="647"/>
      <c r="AH21" s="493" t="b">
        <f>Erhebungsbogen!P39</f>
        <v>0</v>
      </c>
      <c r="AI21" s="261" t="str">
        <f>VLOOKUP("Halterungen Dammbalken:",Sprachindex!$A:$Z,Haftungsausschluß!$O$6,FALSE)</f>
        <v>Halterungen Dammbalken:</v>
      </c>
      <c r="AL21" s="260"/>
      <c r="AM21" s="260"/>
      <c r="AN21" s="260"/>
      <c r="AS21" s="423"/>
      <c r="AT21" s="41"/>
      <c r="AU21" s="41"/>
      <c r="AV21" s="499"/>
      <c r="AW21" s="500"/>
      <c r="AX21" s="114"/>
      <c r="AY21" s="114"/>
      <c r="AZ21" s="114"/>
      <c r="BA21" s="114"/>
      <c r="BB21" s="114"/>
      <c r="BC21" s="114"/>
      <c r="BD21" s="41"/>
      <c r="BF21" s="49"/>
    </row>
    <row r="22" spans="1:62" s="41" customFormat="1" ht="15" customHeight="1">
      <c r="A22" s="28"/>
      <c r="B22" s="28"/>
      <c r="C22" s="861" t="str">
        <f>IF(OR(AK17=1,AL17=1),VLOOKUP("zusätzlicher Randabstand:",Sprachindex!$A:$Z,Haftungsausschluß!$O$6,FALSE),"")</f>
        <v>zusätzlicher Randabstand:</v>
      </c>
      <c r="D22" s="862"/>
      <c r="E22" s="862"/>
      <c r="F22" s="862"/>
      <c r="G22" s="862"/>
      <c r="H22" s="894"/>
      <c r="I22" s="895">
        <f>Erhebungsbogen!J54</f>
        <v>0</v>
      </c>
      <c r="J22" s="896"/>
      <c r="K22" s="28"/>
      <c r="L22" s="28"/>
      <c r="M22" s="271" t="str">
        <f>VLOOKUP("Rundprofil 90°",Sprachindex!$A:$Z,Haftungsausschluß!$O$6,FALSE)</f>
        <v>Rundprofil 90°</v>
      </c>
      <c r="N22" s="60"/>
      <c r="O22" s="60"/>
      <c r="P22" s="60"/>
      <c r="Q22" s="726"/>
      <c r="R22" s="42"/>
      <c r="S22" s="47"/>
      <c r="T22" s="47"/>
      <c r="U22" s="58"/>
      <c r="V22" s="28"/>
      <c r="W22" s="270" t="str">
        <f>"     " &amp;VLOOKUP("Dauerbodendichtung:",Sprachindex!$A:$Z,Haftungsausschluß!$O$6,FALSE)</f>
        <v xml:space="preserve">     Dauerbodendichtung:</v>
      </c>
      <c r="X22" s="61"/>
      <c r="Y22" s="61"/>
      <c r="Z22" s="61"/>
      <c r="AA22" s="61"/>
      <c r="AB22" s="61"/>
      <c r="AC22" s="61"/>
      <c r="AD22" s="61"/>
      <c r="AE22" s="647"/>
      <c r="AF22" s="28"/>
      <c r="AG22" s="28"/>
      <c r="AH22" s="493" t="b">
        <f>Erhebungsbogen!P46</f>
        <v>0</v>
      </c>
      <c r="AI22" s="261" t="str">
        <f>VLOOKUP("Lagerabdeckung",Sprachindex!$A:$Z,Haftungsausschluß!$O$6,FALSE)</f>
        <v>Lagerabdeckung</v>
      </c>
      <c r="AL22" s="260"/>
      <c r="AM22" s="260"/>
      <c r="AN22" s="260"/>
      <c r="AO22" s="422"/>
      <c r="AP22" s="422"/>
      <c r="AQ22" s="422"/>
      <c r="AR22" s="422"/>
      <c r="AS22" s="423"/>
      <c r="AV22" s="499"/>
      <c r="AW22" s="500"/>
      <c r="AX22" s="114"/>
      <c r="AY22" s="114"/>
      <c r="AZ22" s="114"/>
      <c r="BA22" s="114"/>
      <c r="BB22" s="114"/>
      <c r="BC22" s="114"/>
      <c r="BF22" s="64"/>
    </row>
    <row r="23" spans="1:62" s="41" customFormat="1" ht="15" customHeight="1">
      <c r="A23" s="28"/>
      <c r="B23" s="28"/>
      <c r="C23" s="879" t="str">
        <f>VLOOKUP("Stauhöhe (BHW) [mm]:",Sprachindex!$A:$Z,Haftungsausschluß!$O$6,FALSE)</f>
        <v>Stauhöhe (BHW) [mm]:</v>
      </c>
      <c r="D23" s="880"/>
      <c r="E23" s="880"/>
      <c r="F23" s="880"/>
      <c r="G23" s="880"/>
      <c r="H23" s="881"/>
      <c r="I23" s="882">
        <f>Erhebungsbogen!C21</f>
        <v>0</v>
      </c>
      <c r="J23" s="883"/>
      <c r="K23" s="422"/>
      <c r="L23" s="28"/>
      <c r="M23" s="273" t="str">
        <f>VLOOKUP("Rundprofil Vario",Sprachindex!$A:$Z,Haftungsausschluß!$O$6,FALSE)</f>
        <v>Rundprofil Vario</v>
      </c>
      <c r="N23" s="48"/>
      <c r="O23" s="48"/>
      <c r="P23" s="740"/>
      <c r="Q23" s="65"/>
      <c r="R23" s="36"/>
      <c r="S23" s="66"/>
      <c r="T23" s="66"/>
      <c r="U23" s="40"/>
      <c r="V23" s="28"/>
      <c r="W23" s="270" t="str">
        <f>"     " &amp;VLOOKUP("Halterungen Dammbalken:",Sprachindex!$A:$Z,Haftungsausschluß!$O$6,FALSE)</f>
        <v xml:space="preserve">     Halterungen Dammbalken:</v>
      </c>
      <c r="X23" s="61"/>
      <c r="Y23" s="61"/>
      <c r="Z23" s="61"/>
      <c r="AA23" s="61"/>
      <c r="AB23" s="61"/>
      <c r="AC23" s="61"/>
      <c r="AD23" s="61"/>
      <c r="AE23" s="647"/>
      <c r="AF23" s="28"/>
      <c r="AG23" s="28"/>
      <c r="AH23" s="493" t="b">
        <v>0</v>
      </c>
      <c r="AI23" s="261" t="str">
        <f>VLOOKUP("Hebehilfe für Bodenhülsendeckel",Sprachindex!$A:$Z,Haftungsausschluß!$O$6,FALSE)</f>
        <v>Hebehilfe für Bodenhülsendeckel</v>
      </c>
      <c r="AL23" s="260"/>
      <c r="AM23" s="260" t="s">
        <v>4084</v>
      </c>
      <c r="AN23" s="260"/>
      <c r="AO23" s="422"/>
      <c r="AP23" s="422"/>
      <c r="AQ23" s="422"/>
      <c r="AR23" s="422"/>
      <c r="AS23" s="423"/>
      <c r="AV23" s="499"/>
      <c r="AW23" s="500"/>
      <c r="AX23" s="114"/>
      <c r="AY23" s="114"/>
      <c r="AZ23" s="114"/>
      <c r="BA23" s="114"/>
      <c r="BB23" s="114"/>
      <c r="BC23" s="114"/>
    </row>
    <row r="24" spans="1:62" s="41" customFormat="1" ht="15" customHeight="1">
      <c r="A24" s="28"/>
      <c r="B24" s="28"/>
      <c r="C24" s="879" t="str">
        <f>VLOOKUP("Freibord [mm]:",Sprachindex!$A:$Z,Haftungsausschluß!$O$6,FALSE)</f>
        <v>Freibord [mm]:</v>
      </c>
      <c r="D24" s="880"/>
      <c r="E24" s="880"/>
      <c r="F24" s="880"/>
      <c r="G24" s="880"/>
      <c r="H24" s="881"/>
      <c r="I24" s="882"/>
      <c r="J24" s="883"/>
      <c r="K24" s="28"/>
      <c r="L24" s="28"/>
      <c r="M24" s="884" t="str">
        <f>IF((Q22+Q23)&gt;=I26,VLOOKUP("ACHTUNG: zu viele Rundprofile gewählt",Sprachindex!$A:$Z,Haftungsausschluß!$O$6,FALSE),"")</f>
        <v/>
      </c>
      <c r="N24" s="884"/>
      <c r="O24" s="884"/>
      <c r="P24" s="884"/>
      <c r="Q24" s="884"/>
      <c r="R24" s="884"/>
      <c r="S24" s="884"/>
      <c r="T24" s="884"/>
      <c r="U24" s="884"/>
      <c r="V24" s="28"/>
      <c r="W24" s="270" t="str">
        <f>"     " &amp;VLOOKUP("Lagerabdeckung",Sprachindex!$A:$Z,Haftungsausschluß!$O$6,FALSE)</f>
        <v xml:space="preserve">     Lagerabdeckung</v>
      </c>
      <c r="X24" s="61"/>
      <c r="Y24" s="61"/>
      <c r="Z24" s="61"/>
      <c r="AA24" s="61"/>
      <c r="AB24" s="61"/>
      <c r="AC24" s="61"/>
      <c r="AD24" s="61"/>
      <c r="AE24" s="647"/>
      <c r="AF24" s="28"/>
      <c r="AG24" s="28"/>
      <c r="AH24" s="493" t="b">
        <v>0</v>
      </c>
      <c r="AI24" s="261" t="str">
        <f>VLOOKUP("Dichtungsroller 25/50",Sprachindex!$A:$Z,Haftungsausschluß!$O$6,FALSE)</f>
        <v>Dichtungsroller 25/50</v>
      </c>
      <c r="AL24" s="260"/>
      <c r="AM24" s="741" t="str">
        <f>IF(AM17=1,"","15°")</f>
        <v>15°</v>
      </c>
      <c r="AN24" s="260"/>
      <c r="AO24" s="422"/>
      <c r="AP24" s="422"/>
      <c r="AQ24" s="422"/>
      <c r="AR24" s="422"/>
      <c r="AS24" s="423"/>
      <c r="AV24" s="499"/>
      <c r="AW24" s="500"/>
      <c r="AX24" s="114"/>
      <c r="AY24" s="114"/>
      <c r="AZ24" s="114"/>
      <c r="BA24" s="114"/>
      <c r="BB24" s="114"/>
      <c r="BC24" s="114"/>
    </row>
    <row r="25" spans="1:62" s="41" customFormat="1" ht="15" customHeight="1">
      <c r="C25" s="885" t="str">
        <f>IF(I25&gt;2150,VLOOKUP("Profilhöhe zu hoch!",Sprachindex!$A:$Z,Haftungsausschluß!$O$6,FALSE),VLOOKUP("erf. Profilhöhe f. Spanner:",Sprachindex!$A:$Z,Haftungsausschluß!$O$6,FALSE))</f>
        <v>erf. Profilhöhe f. Spanner:</v>
      </c>
      <c r="D25" s="886"/>
      <c r="E25" s="886"/>
      <c r="F25" s="886"/>
      <c r="G25" s="886"/>
      <c r="H25" s="887"/>
      <c r="I25" s="888"/>
      <c r="J25" s="889"/>
      <c r="K25" s="64"/>
      <c r="L25" s="28"/>
      <c r="M25" s="867" t="str">
        <f>VLOOKUP("Sonderkosten",Sprachindex!$A:$Z,Haftungsausschluß!$O$6,FALSE)</f>
        <v>Sonderkosten</v>
      </c>
      <c r="N25" s="868"/>
      <c r="O25" s="868"/>
      <c r="P25" s="868"/>
      <c r="Q25" s="868"/>
      <c r="R25" s="868"/>
      <c r="S25" s="868"/>
      <c r="T25" s="868"/>
      <c r="U25" s="869"/>
      <c r="V25" s="28"/>
      <c r="W25" s="270" t="str">
        <f>"     " &amp;VLOOKUP("Hebehilfe für Bodenhülsendeckel",Sprachindex!$A:$Z,Haftungsausschluß!$O$6,FALSE)</f>
        <v xml:space="preserve">     Hebehilfe für Bodenhülsendeckel</v>
      </c>
      <c r="X25" s="61"/>
      <c r="Y25" s="61"/>
      <c r="Z25" s="61"/>
      <c r="AA25" s="61"/>
      <c r="AB25" s="61"/>
      <c r="AC25" s="62"/>
      <c r="AD25" s="63" t="str">
        <f>VLOOKUP("Stk",Sprachindex!$A:$Z,Haftungsausschluß!$O$6,FALSE)</f>
        <v>Stk</v>
      </c>
      <c r="AE25" s="648"/>
      <c r="AF25" s="28"/>
      <c r="AG25" s="28"/>
      <c r="AH25" s="114" t="b">
        <v>0</v>
      </c>
      <c r="AI25" s="41" t="str">
        <f>VLOOKUP("Dichtungsroller 80",Sprachindex!$A:$Z,Haftungsausschluß!$O$6,FALSE)</f>
        <v>Dichtungsroller 80</v>
      </c>
      <c r="AL25" s="260"/>
      <c r="AM25" s="741" t="str">
        <f>IF(AM17=1,"","30°")</f>
        <v>30°</v>
      </c>
      <c r="AN25" s="260"/>
      <c r="AO25" s="422"/>
      <c r="AP25" s="422"/>
      <c r="AQ25" s="422"/>
      <c r="AR25" s="422"/>
      <c r="AS25" s="423"/>
      <c r="AV25" s="499"/>
      <c r="AW25" s="500"/>
      <c r="AX25" s="114"/>
      <c r="AY25" s="114"/>
      <c r="AZ25" s="114"/>
      <c r="BA25" s="114"/>
      <c r="BB25" s="114"/>
      <c r="BC25" s="114"/>
    </row>
    <row r="26" spans="1:62" s="41" customFormat="1" ht="15" customHeight="1">
      <c r="C26" s="890" t="str">
        <f>VLOOKUP("Anzahl der Felder:",Sprachindex!$A:$Z,Haftungsausschluß!$O$6,FALSE)</f>
        <v>Anzahl der Felder:</v>
      </c>
      <c r="D26" s="891"/>
      <c r="E26" s="891"/>
      <c r="F26" s="891"/>
      <c r="G26" s="891"/>
      <c r="H26" s="891"/>
      <c r="I26" s="892">
        <v>1</v>
      </c>
      <c r="J26" s="893"/>
      <c r="L26" s="28"/>
      <c r="M26" s="270" t="str">
        <f>"     " &amp;VLOOKUP("Sonderanfertigung",Sprachindex!$A:$Z,Haftungsausschluß!$O$6,FALSE)</f>
        <v xml:space="preserve">     Sonderanfertigung</v>
      </c>
      <c r="N26" s="61"/>
      <c r="O26" s="61"/>
      <c r="P26" s="61"/>
      <c r="Q26" s="61"/>
      <c r="R26" s="61"/>
      <c r="S26" s="62"/>
      <c r="T26" s="265" t="str">
        <f>VLOOKUP("Stk",Sprachindex!$A:$Z,Haftungsausschluß!$O$6,FALSE)</f>
        <v>Stk</v>
      </c>
      <c r="U26" s="508"/>
      <c r="W26" s="270" t="str">
        <f>"     " &amp;VLOOKUP("Dichtungsroller 25/50",Sprachindex!$A:$Z,Haftungsausschluß!$O$6,FALSE)</f>
        <v xml:space="preserve">     Dichtungsroller 25/50</v>
      </c>
      <c r="X26" s="61"/>
      <c r="Y26" s="61"/>
      <c r="Z26" s="61"/>
      <c r="AA26" s="61"/>
      <c r="AB26" s="61"/>
      <c r="AC26" s="62"/>
      <c r="AD26" s="63" t="str">
        <f>VLOOKUP("Stk",Sprachindex!$A:$Z,Haftungsausschluß!$O$6,FALSE)</f>
        <v>Stk</v>
      </c>
      <c r="AE26" s="648"/>
      <c r="AH26" s="41" t="str">
        <f>VLOOKUP("Sonderkosten",Sprachindex!$A:$Z,Haftungsausschluß!$O$6,FALSE)</f>
        <v>Sonderkosten</v>
      </c>
      <c r="AL26" s="47"/>
      <c r="AM26" s="742" t="str">
        <f>IF(AM17=1,"","45°")</f>
        <v>45°</v>
      </c>
      <c r="AN26" s="47"/>
      <c r="AO26" s="423"/>
      <c r="AP26" s="423"/>
      <c r="AQ26" s="423"/>
      <c r="AR26" s="423"/>
      <c r="AS26" s="423"/>
      <c r="AV26" s="499"/>
      <c r="AW26" s="501"/>
      <c r="AX26" s="114"/>
      <c r="AY26" s="114"/>
      <c r="AZ26" s="114"/>
      <c r="BA26" s="114"/>
      <c r="BB26" s="114"/>
      <c r="BC26" s="114"/>
    </row>
    <row r="27" spans="1:62" s="41" customFormat="1" ht="15" customHeight="1">
      <c r="C27" s="875" t="str">
        <f>VLOOKUP("Anströmwinkel [°]:",Sprachindex!$A:$Z,Haftungsausschluß!$O$6,FALSE)</f>
        <v>Anströmwinkel [°]:</v>
      </c>
      <c r="D27" s="876"/>
      <c r="E27" s="876"/>
      <c r="F27" s="876"/>
      <c r="G27" s="876"/>
      <c r="H27" s="876"/>
      <c r="I27" s="877">
        <v>0</v>
      </c>
      <c r="J27" s="878"/>
      <c r="K27" s="67"/>
      <c r="L27" s="28"/>
      <c r="M27" s="270" t="str">
        <f>"     " &amp;VLOOKUP("Längenänderung Wandprofil",Sprachindex!$A:$Z,Haftungsausschluß!$O$6,FALSE)</f>
        <v xml:space="preserve">     Längenänderung Wandprofil</v>
      </c>
      <c r="N27" s="61"/>
      <c r="O27" s="61"/>
      <c r="P27" s="61"/>
      <c r="Q27" s="61"/>
      <c r="R27" s="61"/>
      <c r="S27" s="62"/>
      <c r="T27" s="265" t="str">
        <f>VLOOKUP("Stk",Sprachindex!$A:$Z,Haftungsausschluß!$O$6,FALSE)</f>
        <v>Stk</v>
      </c>
      <c r="U27" s="508"/>
      <c r="W27" s="649" t="str">
        <f>"     " &amp;VLOOKUP("Dichtungsroller 80",Sprachindex!$A:$Z,Haftungsausschluß!$O$6,FALSE)</f>
        <v xml:space="preserve">     Dichtungsroller 80</v>
      </c>
      <c r="X27" s="261"/>
      <c r="Y27" s="261"/>
      <c r="Z27" s="261"/>
      <c r="AA27" s="261"/>
      <c r="AB27" s="261"/>
      <c r="AC27" s="650"/>
      <c r="AD27" s="651" t="str">
        <f>VLOOKUP("Stk",Sprachindex!$A:$Z,Haftungsausschluß!$O$6,FALSE)</f>
        <v>Stk</v>
      </c>
      <c r="AE27" s="652"/>
      <c r="AH27" s="114" t="b">
        <v>0</v>
      </c>
      <c r="AI27" s="261" t="str">
        <f>VLOOKUP("Verankerung aufgeschweißt 300mm",Sprachindex!$A:$Z,Haftungsausschluß!$O$6,FALSE)</f>
        <v>Verankerung aufgeschweißt 300mm</v>
      </c>
      <c r="AL27" s="47"/>
      <c r="AM27" s="742" t="str">
        <f>IF(AM17=1,"","60°")</f>
        <v>60°</v>
      </c>
      <c r="AN27" s="47"/>
      <c r="AO27" s="423"/>
      <c r="AP27" s="423"/>
      <c r="AQ27" s="423"/>
      <c r="AR27" s="423"/>
      <c r="AS27" s="423"/>
      <c r="AV27" s="499"/>
      <c r="AW27" s="500"/>
      <c r="AX27" s="114"/>
      <c r="AY27" s="114"/>
      <c r="AZ27" s="114"/>
      <c r="BA27" s="114"/>
      <c r="BB27" s="114"/>
      <c r="BC27" s="114"/>
    </row>
    <row r="28" spans="1:62" s="41" customFormat="1" ht="15" customHeight="1">
      <c r="C28" s="67"/>
      <c r="K28" s="67"/>
      <c r="L28" s="28"/>
      <c r="M28" s="271" t="str">
        <f>"     " &amp;VLOOKUP("Ausfräsung Wandprofil für DB",Sprachindex!$A:$Z,Haftungsausschluß!$O$6,FALSE)</f>
        <v xml:space="preserve">     Ausfräsung Wandprofil für DB</v>
      </c>
      <c r="N28" s="60"/>
      <c r="O28" s="60"/>
      <c r="P28" s="60"/>
      <c r="Q28" s="60"/>
      <c r="R28" s="60"/>
      <c r="S28" s="62"/>
      <c r="T28" s="265" t="str">
        <f>VLOOKUP("Stk",Sprachindex!$A:$Z,Haftungsausschluß!$O$6,FALSE)</f>
        <v>Stk</v>
      </c>
      <c r="U28" s="509"/>
      <c r="W28" s="270" t="str">
        <f>IF(Haftungsausschluß!L22=2,"     " &amp;VLOOKUP("Montagematerial",Sprachindex!$A:$Z,Haftungsausschluß!$O$6,FALSE),"")</f>
        <v/>
      </c>
      <c r="X28" s="61"/>
      <c r="Y28" s="61"/>
      <c r="Z28" s="61"/>
      <c r="AA28" s="61"/>
      <c r="AB28" s="61"/>
      <c r="AC28" s="62"/>
      <c r="AD28" s="63" t="str">
        <f>VLOOKUP("Pa",Sprachindex!$A:$Z,Haftungsausschluß!$O$6,FALSE)</f>
        <v>Pa</v>
      </c>
      <c r="AE28" s="648"/>
      <c r="AH28" s="114" t="b">
        <v>0</v>
      </c>
      <c r="AI28" s="261" t="str">
        <f>VLOOKUP("Längenänderung Wandprofil",Sprachindex!$A:$Z,Haftungsausschluß!$O$6,FALSE)</f>
        <v>Längenänderung Wandprofil</v>
      </c>
      <c r="AL28" s="47"/>
      <c r="AM28" s="742" t="str">
        <f>IF(OR(AM17=2,AM17=3),"75°","")</f>
        <v>75°</v>
      </c>
      <c r="AN28" s="47"/>
      <c r="AO28" s="494">
        <f>28+AK17</f>
        <v>29</v>
      </c>
      <c r="AP28" s="494">
        <f>28+AL17</f>
        <v>29</v>
      </c>
      <c r="AQ28" s="495"/>
      <c r="AR28" s="494">
        <f>28+AN17</f>
        <v>29</v>
      </c>
      <c r="AS28" s="494">
        <f>28+IF(I26&gt;8,8,I26)</f>
        <v>29</v>
      </c>
      <c r="AT28" s="496">
        <f>28+IF(I26&gt;8,9,I26)</f>
        <v>29</v>
      </c>
      <c r="AV28" s="499"/>
      <c r="AW28" s="500"/>
      <c r="AX28" s="114"/>
      <c r="AY28" s="114"/>
      <c r="AZ28" s="114"/>
      <c r="BA28" s="496">
        <f>28+IF(I26&gt;8,9,I26)</f>
        <v>29</v>
      </c>
      <c r="BB28" s="114"/>
      <c r="BC28" s="114"/>
    </row>
    <row r="29" spans="1:62" s="41" customFormat="1" ht="15" customHeight="1">
      <c r="M29" s="272" t="str">
        <f>"     " &amp;VLOOKUP("Aufpreis Planungsstunde",Sprachindex!$A:$Z,Haftungsausschluß!$O$6,FALSE)</f>
        <v xml:space="preserve">     Aufpreis Planungsstunde</v>
      </c>
      <c r="N29" s="68"/>
      <c r="O29" s="68"/>
      <c r="P29" s="68"/>
      <c r="Q29" s="68"/>
      <c r="R29" s="68"/>
      <c r="S29" s="69"/>
      <c r="T29" s="266" t="str">
        <f>VLOOKUP("Std",Sprachindex!$A:$Z,Haftungsausschluß!$O$6,FALSE)</f>
        <v>Std</v>
      </c>
      <c r="U29" s="510"/>
      <c r="W29" s="270" t="str">
        <f>IF(Haftungsausschluß!L22=2,"     " &amp;VLOOKUP("Montage",Sprachindex!$A:$Z,Haftungsausschluß!$O$6,FALSE),"")</f>
        <v/>
      </c>
      <c r="X29" s="61"/>
      <c r="Y29" s="61"/>
      <c r="Z29" s="61"/>
      <c r="AA29" s="61"/>
      <c r="AB29" s="61"/>
      <c r="AC29" s="62"/>
      <c r="AD29" s="63" t="str">
        <f>VLOOKUP("Pa",Sprachindex!$A:$Z,Haftungsausschluß!$O$6,FALSE)</f>
        <v>Pa</v>
      </c>
      <c r="AE29" s="648"/>
      <c r="AH29" s="114" t="b">
        <v>0</v>
      </c>
      <c r="AI29" s="261" t="str">
        <f>VLOOKUP("Ausfräsung Wandprofil für DB",Sprachindex!$A:$Z,Haftungsausschluß!$O$6,FALSE)</f>
        <v>Ausfräsung Wandprofil für DB</v>
      </c>
      <c r="AL29" s="47"/>
      <c r="AM29" s="47"/>
      <c r="AN29" s="47"/>
      <c r="AO29" s="423"/>
      <c r="AP29" s="423"/>
      <c r="AQ29" s="423"/>
      <c r="AR29" s="423"/>
      <c r="AS29" s="423"/>
      <c r="AT29" s="82" t="s">
        <v>2835</v>
      </c>
      <c r="AV29" s="502"/>
      <c r="AW29" s="500"/>
      <c r="AX29" s="114"/>
      <c r="AY29" s="114"/>
      <c r="AZ29" s="114"/>
      <c r="BA29" s="114"/>
      <c r="BB29" s="114"/>
      <c r="BC29" s="114"/>
    </row>
    <row r="30" spans="1:62" s="41" customFormat="1" ht="12.75" customHeight="1">
      <c r="K30" s="67"/>
      <c r="W30" s="268" t="str">
        <f>IF(Haftungsausschluß!L22=2,"     " &amp;VLOOKUP("Fahrtkosten",Sprachindex!$A:$Z,Haftungsausschluß!$O$6,FALSE),"")</f>
        <v/>
      </c>
      <c r="X30" s="70"/>
      <c r="Y30" s="70"/>
      <c r="Z30" s="70"/>
      <c r="AA30" s="70"/>
      <c r="AB30" s="70"/>
      <c r="AC30" s="642"/>
      <c r="AD30" s="653" t="str">
        <f>VLOOKUP("Pa",Sprachindex!$A:$Z,Haftungsausschluß!$O$6,FALSE)</f>
        <v>Pa</v>
      </c>
      <c r="AE30" s="646"/>
      <c r="AH30" s="114" t="b">
        <v>0</v>
      </c>
      <c r="AI30" s="261" t="str">
        <f>VLOOKUP("Aufpreis Planungsstunde",Sprachindex!$A:$Z,Haftungsausschluß!$O$6,FALSE)</f>
        <v>Aufpreis Planungsstunde</v>
      </c>
      <c r="AL30" s="47"/>
      <c r="AM30" s="47"/>
      <c r="AN30" s="47"/>
      <c r="AO30" s="423"/>
      <c r="AP30" s="423"/>
      <c r="AQ30" s="423"/>
      <c r="AR30" s="423"/>
      <c r="AS30" s="423"/>
      <c r="AT30" s="82" t="str">
        <f>"     1                2"</f>
        <v xml:space="preserve">     1                2</v>
      </c>
      <c r="AV30" s="502"/>
      <c r="AW30" s="500"/>
      <c r="AX30" s="114"/>
      <c r="AY30" s="114"/>
      <c r="AZ30" s="114"/>
      <c r="BA30" s="114" t="str">
        <f>"     1"</f>
        <v xml:space="preserve">     1</v>
      </c>
      <c r="BB30" s="114"/>
      <c r="BC30" s="114"/>
    </row>
    <row r="31" spans="1:62" s="41" customFormat="1" ht="12.75" customHeight="1">
      <c r="K31" s="64"/>
      <c r="L31" s="64"/>
      <c r="AE31" s="114"/>
      <c r="AL31" s="47"/>
      <c r="AM31" s="47"/>
      <c r="AN31" s="47"/>
      <c r="AO31" s="423"/>
      <c r="AP31" s="423"/>
      <c r="AQ31" s="423"/>
      <c r="AR31" s="423"/>
      <c r="AS31" s="423"/>
      <c r="AT31" s="82" t="str">
        <f>"     1                2                  3"</f>
        <v xml:space="preserve">     1                2                  3</v>
      </c>
      <c r="AV31" s="502"/>
      <c r="AW31" s="500"/>
      <c r="AX31" s="114"/>
      <c r="AY31" s="114"/>
      <c r="AZ31" s="114"/>
      <c r="BA31" s="114" t="str">
        <f>"     1                  2"</f>
        <v xml:space="preserve">     1                  2</v>
      </c>
      <c r="BB31" s="114"/>
      <c r="BC31" s="114"/>
    </row>
    <row r="32" spans="1:62" s="41" customFormat="1" ht="12.75" customHeight="1">
      <c r="W32" s="71" t="str">
        <f>VLOOKUP("Definition Feld Innenlichte:",Sprachindex!$A:$Z,Haftungsausschluß!$O$6,FALSE)</f>
        <v>Definition Feld Innenlichte:</v>
      </c>
      <c r="X32" s="72"/>
      <c r="Y32" s="72"/>
      <c r="Z32" s="72"/>
      <c r="AA32" s="72"/>
      <c r="AB32" s="72"/>
      <c r="AC32" s="72"/>
      <c r="AD32" s="72"/>
      <c r="AE32" s="73"/>
      <c r="AH32" s="41" t="str">
        <f>VLOOKUP("Beschichtung",Sprachindex!$A:$Z,Haftungsausschluß!$O$6,FALSE)</f>
        <v>Beschichtung</v>
      </c>
      <c r="AL32" s="47"/>
      <c r="AM32" s="47"/>
      <c r="AN32" s="47"/>
      <c r="AO32" s="423"/>
      <c r="AP32" s="423"/>
      <c r="AQ32" s="423"/>
      <c r="AR32" s="423"/>
      <c r="AS32" s="423"/>
      <c r="AT32" s="82" t="str">
        <f>"     1                2                  3                 4"</f>
        <v xml:space="preserve">     1                2                  3                 4</v>
      </c>
      <c r="AV32" s="502"/>
      <c r="AW32" s="500"/>
      <c r="AX32" s="114"/>
      <c r="AY32" s="114"/>
      <c r="AZ32" s="114"/>
      <c r="BA32" s="114" t="str">
        <f>"     1                  2                 3"</f>
        <v xml:space="preserve">     1                  2                 3</v>
      </c>
      <c r="BB32" s="114"/>
      <c r="BC32" s="114"/>
    </row>
    <row r="33" spans="1:747" s="41" customFormat="1" ht="12.75" customHeight="1">
      <c r="C33" s="41" t="str">
        <f>VLOOKUP("Feld Nr.",Sprachindex!$A:$Z,Haftungsausschluß!$O$6,FALSE)</f>
        <v>Feld Nr.</v>
      </c>
      <c r="D33" s="263"/>
      <c r="G33" s="74"/>
      <c r="H33" s="74"/>
      <c r="I33" s="74"/>
      <c r="K33" s="75"/>
      <c r="M33" s="76"/>
      <c r="N33" s="75"/>
      <c r="W33" s="77"/>
      <c r="X33" s="78"/>
      <c r="Y33" s="78"/>
      <c r="Z33" s="78"/>
      <c r="AA33" s="78"/>
      <c r="AB33" s="78"/>
      <c r="AC33" s="78"/>
      <c r="AD33" s="78"/>
      <c r="AE33" s="79"/>
      <c r="AH33" s="114" t="b">
        <f>Erhebungsbogen!O39</f>
        <v>0</v>
      </c>
      <c r="AI33" s="57" t="str">
        <f>VLOOKUP("Dammbalken",Sprachindex!$A:$Z,Haftungsausschluß!$O$6,FALSE)</f>
        <v>Dammbalken</v>
      </c>
      <c r="AJ33" s="57"/>
      <c r="AK33" s="57"/>
      <c r="AL33" s="57"/>
      <c r="AM33" s="47"/>
      <c r="AN33" s="47"/>
      <c r="AO33" s="423"/>
      <c r="AP33" s="423"/>
      <c r="AQ33" s="423"/>
      <c r="AR33" s="423"/>
      <c r="AS33" s="423"/>
      <c r="AT33" s="82" t="str">
        <f>"     1                2                  3                 4                  5"</f>
        <v xml:space="preserve">     1                2                  3                 4                  5</v>
      </c>
      <c r="AV33" s="502"/>
      <c r="AW33" s="500"/>
      <c r="AX33" s="114"/>
      <c r="AY33" s="114"/>
      <c r="AZ33" s="114"/>
      <c r="BA33" s="114" t="str">
        <f>"     1                  2                 3                  4"</f>
        <v xml:space="preserve">     1                  2                 3                  4</v>
      </c>
      <c r="BB33" s="114"/>
      <c r="BC33" s="114"/>
    </row>
    <row r="34" spans="1:747" s="41" customFormat="1" ht="12.75" customHeight="1">
      <c r="C34" s="28"/>
      <c r="W34" s="77"/>
      <c r="X34" s="78"/>
      <c r="Y34" s="78"/>
      <c r="Z34" s="78"/>
      <c r="AA34" s="78"/>
      <c r="AB34" s="78"/>
      <c r="AC34" s="78"/>
      <c r="AD34" s="78"/>
      <c r="AE34" s="79"/>
      <c r="AH34" s="114" t="b">
        <f>Erhebungsbogen!O40</f>
        <v>0</v>
      </c>
      <c r="AI34" s="57" t="str">
        <f>VLOOKUP("Wandprofil",Sprachindex!$A:$Z,Haftungsausschluß!$O$6,FALSE)</f>
        <v>Wandprofil</v>
      </c>
      <c r="AJ34" s="57"/>
      <c r="AK34" s="57"/>
      <c r="AL34" s="57"/>
      <c r="AM34" s="47"/>
      <c r="AN34" s="47"/>
      <c r="AO34" s="423"/>
      <c r="AP34" s="423"/>
      <c r="AQ34" s="423"/>
      <c r="AR34" s="423"/>
      <c r="AS34" s="423"/>
      <c r="AT34" s="82" t="str">
        <f>"     1                2                  3                 4                  5                  6"</f>
        <v xml:space="preserve">     1                2                  3                 4                  5                  6</v>
      </c>
      <c r="AV34" s="499"/>
      <c r="AW34" s="500"/>
      <c r="AX34" s="114"/>
      <c r="AY34" s="114"/>
      <c r="AZ34" s="114"/>
      <c r="BA34" s="114" t="str">
        <f>"     1                  2                 3                  4                  5"</f>
        <v xml:space="preserve">     1                  2                 3                  4                  5</v>
      </c>
      <c r="BB34" s="114"/>
      <c r="BC34" s="114"/>
    </row>
    <row r="35" spans="1:747" s="41" customFormat="1" ht="12.75" customHeight="1">
      <c r="W35" s="42"/>
      <c r="X35" s="47"/>
      <c r="Y35" s="47"/>
      <c r="Z35" s="47"/>
      <c r="AA35" s="47"/>
      <c r="AB35" s="47"/>
      <c r="AC35" s="47"/>
      <c r="AD35" s="47"/>
      <c r="AE35" s="58"/>
      <c r="AH35" s="114" t="b">
        <f>Erhebungsbogen!O41</f>
        <v>0</v>
      </c>
      <c r="AI35" s="57" t="str">
        <f>VLOOKUP("Abdeckung",Sprachindex!$A:$Z,Haftungsausschluß!$O$6,FALSE)</f>
        <v>Abdeckung</v>
      </c>
      <c r="AJ35" s="57"/>
      <c r="AK35" s="57"/>
      <c r="AL35" s="57"/>
      <c r="AO35" s="423"/>
      <c r="AP35" s="423"/>
      <c r="AQ35" s="423"/>
      <c r="AR35" s="423"/>
      <c r="AS35" s="423"/>
      <c r="AT35" s="82" t="str">
        <f>"     1                2                  3                 4                  5                  6                 7"</f>
        <v xml:space="preserve">     1                2                  3                 4                  5                  6                 7</v>
      </c>
      <c r="AV35" s="499"/>
      <c r="AW35" s="500"/>
      <c r="AX35" s="114"/>
      <c r="AY35" s="114"/>
      <c r="AZ35" s="114"/>
      <c r="BA35" s="114" t="str">
        <f>"     1                  2                 3                  4                  5                  6"</f>
        <v xml:space="preserve">     1                  2                 3                  4                  5                  6</v>
      </c>
      <c r="BB35" s="114"/>
      <c r="BC35" s="114"/>
    </row>
    <row r="36" spans="1:747" s="41" customFormat="1" ht="12.75" customHeight="1">
      <c r="W36" s="36"/>
      <c r="X36" s="66"/>
      <c r="Y36" s="66"/>
      <c r="Z36" s="66"/>
      <c r="AA36" s="66"/>
      <c r="AB36" s="66"/>
      <c r="AC36" s="66"/>
      <c r="AD36" s="66"/>
      <c r="AE36" s="40"/>
      <c r="AH36" s="114" t="b">
        <f>Erhebungsbogen!O42</f>
        <v>0</v>
      </c>
      <c r="AI36" s="57" t="str">
        <f>VLOOKUP("Lagerabdeckung",Sprachindex!$A:$Z,Haftungsausschluß!$O$6,FALSE)</f>
        <v>Lagerabdeckung</v>
      </c>
      <c r="AJ36" s="57"/>
      <c r="AK36" s="57"/>
      <c r="AL36" s="57"/>
      <c r="AO36" s="423"/>
      <c r="AP36" s="423"/>
      <c r="AQ36" s="423"/>
      <c r="AR36" s="423"/>
      <c r="AS36" s="423"/>
      <c r="AT36" s="82" t="str">
        <f>"     1                2                  3                 4                  5                  6                 7                 8"</f>
        <v xml:space="preserve">     1                2                  3                 4                  5                  6                 7                 8</v>
      </c>
      <c r="AV36" s="499"/>
      <c r="AW36" s="500"/>
      <c r="AX36" s="114"/>
      <c r="AY36" s="114"/>
      <c r="AZ36" s="114"/>
      <c r="BA36" s="114" t="str">
        <f>"     1                  2                 3                  4                  5                  6                  7"</f>
        <v xml:space="preserve">     1                  2                 3                  4                  5                  6                  7</v>
      </c>
      <c r="BB36" s="114"/>
      <c r="BC36" s="114"/>
    </row>
    <row r="37" spans="1:747" s="41" customFormat="1" ht="12.75" customHeight="1">
      <c r="C37" s="41" t="str">
        <f>VLOOKUP("Steher Nr.",Sprachindex!$A:$Z,Haftungsausschluß!$O$6,FALSE)</f>
        <v>Steher Nr.</v>
      </c>
      <c r="D37" s="74"/>
      <c r="F37" s="74"/>
      <c r="G37" s="76"/>
      <c r="H37" s="76"/>
      <c r="J37" s="74"/>
      <c r="K37" s="80"/>
      <c r="M37" s="74"/>
      <c r="N37" s="81"/>
      <c r="AH37" s="41" t="b">
        <v>0</v>
      </c>
      <c r="AI37" s="41" t="s">
        <v>3787</v>
      </c>
      <c r="AO37" s="423"/>
      <c r="AP37" s="423"/>
      <c r="AQ37" s="423"/>
      <c r="AR37" s="423"/>
      <c r="AS37" s="423"/>
      <c r="AT37" s="82" t="str">
        <f>"     1                2                  3                 4                  5                  6                 ...               "  &amp; I26</f>
        <v xml:space="preserve">     1                2                  3                 4                  5                  6                 ...               1</v>
      </c>
      <c r="AV37" s="499"/>
      <c r="AW37" s="500"/>
      <c r="AX37" s="114"/>
      <c r="AY37" s="114"/>
      <c r="AZ37" s="114"/>
      <c r="BA37" s="114" t="str">
        <f>"     1                  2                 3                  4                  5                 …                "  &amp; I26-1</f>
        <v xml:space="preserve">     1                  2                 3                  4                  5                 …                0</v>
      </c>
      <c r="BB37" s="114"/>
      <c r="BC37" s="114"/>
    </row>
    <row r="38" spans="1:747" s="41" customFormat="1" ht="12.75" customHeight="1">
      <c r="D38" s="74"/>
      <c r="E38" s="75"/>
      <c r="F38" s="82"/>
      <c r="H38" s="81"/>
      <c r="J38" s="75"/>
      <c r="K38" s="82"/>
      <c r="M38" s="80"/>
      <c r="O38" s="74"/>
      <c r="Q38" s="81"/>
      <c r="AH38" s="41" t="b">
        <v>0</v>
      </c>
      <c r="AI38" s="41" t="s">
        <v>3788</v>
      </c>
      <c r="AO38" s="423"/>
      <c r="AP38" s="423"/>
      <c r="AQ38" s="423"/>
      <c r="AR38" s="423"/>
      <c r="AS38" s="423"/>
      <c r="AV38" s="499"/>
      <c r="AW38" s="500"/>
      <c r="AX38" s="114"/>
      <c r="AY38" s="114"/>
      <c r="AZ38" s="114"/>
      <c r="BA38" s="114"/>
      <c r="BB38" s="114"/>
      <c r="BC38" s="114"/>
    </row>
    <row r="39" spans="1:747" s="41" customFormat="1" ht="14.4">
      <c r="C39" s="41" t="str">
        <f>IF(AND(AND(AP17=2,AH33),MAX(E42:G230)&gt;3000),"Achtung! Maximallänge bei Beschichtung 3000mm","")</f>
        <v/>
      </c>
      <c r="D39" s="83"/>
      <c r="E39" s="78"/>
      <c r="F39" s="84"/>
      <c r="G39" s="47"/>
      <c r="H39" s="50"/>
      <c r="I39" s="47"/>
      <c r="J39" s="78"/>
      <c r="K39" s="84"/>
      <c r="M39" s="85"/>
      <c r="N39" s="952" t="str">
        <f>VLOOKUP("Statische Ausnutzung Dammbalken in %",Sprachindex!$A:$Z,Haftungsausschluß!$O$6,FALSE)</f>
        <v>Statische Ausnutzung Dammbalken in %</v>
      </c>
      <c r="O39" s="952"/>
      <c r="P39" s="952"/>
      <c r="Q39" s="952"/>
      <c r="R39" s="952"/>
      <c r="S39" s="952"/>
      <c r="T39" s="952"/>
      <c r="U39" s="952"/>
      <c r="X39" s="952" t="str">
        <f>VLOOKUP("Statische Ausnutzung Steher in %",Sprachindex!$A:$Z,Haftungsausschluß!$O$6,FALSE)</f>
        <v>Statische Ausnutzung Steher in %</v>
      </c>
      <c r="Y39" s="952"/>
      <c r="Z39" s="952"/>
      <c r="AA39" s="952"/>
      <c r="AB39" s="952"/>
      <c r="AC39" s="952"/>
      <c r="AD39" s="952"/>
      <c r="AE39" s="952"/>
      <c r="AH39" s="41" t="b">
        <v>0</v>
      </c>
      <c r="AI39" s="41" t="s">
        <v>3789</v>
      </c>
      <c r="AO39" s="423"/>
      <c r="AP39" s="423"/>
      <c r="AQ39" s="423"/>
      <c r="AR39" s="423"/>
      <c r="AS39" s="423"/>
      <c r="AV39" s="499"/>
      <c r="AW39" s="500"/>
      <c r="AX39" s="322"/>
      <c r="AY39" s="322"/>
      <c r="AZ39" s="114"/>
      <c r="BA39" s="114"/>
      <c r="BB39" s="114"/>
      <c r="BC39" s="114"/>
    </row>
    <row r="40" spans="1:747" s="86" customFormat="1" ht="24" customHeight="1">
      <c r="B40" s="87"/>
      <c r="C40" s="962" t="str">
        <f>VLOOKUP("Feld Nr.",Sprachindex!$A:$Z,Haftungsausschluß!$O$6,FALSE)</f>
        <v>Feld Nr.</v>
      </c>
      <c r="D40" s="963"/>
      <c r="E40" s="953" t="str">
        <f>VLOOKUP("Länge",Sprachindex!$A:$Z,Haftungsausschluß!$O$6,FALSE)</f>
        <v>Länge</v>
      </c>
      <c r="F40" s="953"/>
      <c r="G40" s="953"/>
      <c r="H40" s="953"/>
      <c r="I40" s="953"/>
      <c r="J40" s="953"/>
      <c r="K40" s="93"/>
      <c r="L40" s="94"/>
      <c r="M40" s="281"/>
      <c r="N40" s="954" t="str">
        <f>VLOOKUP("Hydrostatisch &amp; -dynamisch",Sprachindex!$A:$Z,Haftungsausschluß!$O$6,FALSE)</f>
        <v>Hydrostatisch &amp; -dynamisch</v>
      </c>
      <c r="O40" s="955"/>
      <c r="P40" s="955"/>
      <c r="Q40" s="955"/>
      <c r="R40" s="955"/>
      <c r="S40" s="956"/>
      <c r="T40" s="957" t="str">
        <f>VLOOKUP("mit Treibgut",Sprachindex!$A:$Z,Haftungsausschluß!$O$6,FALSE)</f>
        <v>mit Treibgut</v>
      </c>
      <c r="U40" s="958"/>
      <c r="V40" s="88"/>
      <c r="W40" s="88"/>
      <c r="X40" s="954" t="str">
        <f>VLOOKUP("Hydrostatisch &amp; -dynamisch",Sprachindex!$A:$Z,Haftungsausschluß!$O$6,FALSE)</f>
        <v>Hydrostatisch &amp; -dynamisch</v>
      </c>
      <c r="Y40" s="955"/>
      <c r="Z40" s="955"/>
      <c r="AA40" s="955"/>
      <c r="AB40" s="955"/>
      <c r="AC40" s="956"/>
      <c r="AD40" s="957" t="str">
        <f>VLOOKUP("mit Treibgut",Sprachindex!$A:$Z,Haftungsausschluß!$O$6,FALSE)</f>
        <v>mit Treibgut</v>
      </c>
      <c r="AE40" s="958"/>
      <c r="AO40" s="424"/>
      <c r="AP40" s="424"/>
      <c r="AQ40" s="424"/>
      <c r="AR40" s="424"/>
      <c r="AS40" s="423"/>
      <c r="AT40" s="41"/>
      <c r="AU40" s="41"/>
      <c r="AV40" s="499"/>
      <c r="AW40" s="500"/>
      <c r="AX40" s="114"/>
      <c r="AY40" s="114"/>
      <c r="AZ40" s="114"/>
      <c r="BA40" s="114"/>
      <c r="BB40" s="114"/>
      <c r="BC40" s="114"/>
      <c r="BD40" s="41"/>
    </row>
    <row r="41" spans="1:747" s="86" customFormat="1" ht="15" customHeight="1">
      <c r="B41" s="89"/>
      <c r="C41" s="964"/>
      <c r="D41" s="965"/>
      <c r="E41" s="959" t="str">
        <f>VLOOKUP("Plan-Dammbalken",Sprachindex!$A:$Z,Haftungsausschluß!$O$6,FALSE)</f>
        <v>Plan-Dammbalken</v>
      </c>
      <c r="F41" s="959"/>
      <c r="G41" s="959"/>
      <c r="H41" s="959" t="str">
        <f>VLOOKUP("[L] Innenlichte",Sprachindex!$A:$Z,Haftungsausschluß!$O$6,FALSE)</f>
        <v>[L] Innenlichte</v>
      </c>
      <c r="I41" s="959"/>
      <c r="J41" s="959"/>
      <c r="K41" s="95"/>
      <c r="L41" s="94"/>
      <c r="M41" s="281"/>
      <c r="N41" s="960" t="str">
        <f>VLOOKUP("Feld Nr.",Sprachindex!$A:$Z,Haftungsausschluß!$O$6,FALSE)</f>
        <v>Feld Nr.</v>
      </c>
      <c r="O41" s="961"/>
      <c r="P41" s="960" t="str">
        <f>VLOOKUP("Durchbiegung",Sprachindex!$A:$Z,Haftungsausschluß!$O$6,FALSE)</f>
        <v>Durchbiegung</v>
      </c>
      <c r="Q41" s="961"/>
      <c r="R41" s="960" t="str">
        <f>VLOOKUP("Tragsicherheitsauslastung",Sprachindex!$A:$Z,Haftungsausschluß!$O$6,FALSE)</f>
        <v>Tragsicherheitsauslastung</v>
      </c>
      <c r="S41" s="966"/>
      <c r="T41" s="966"/>
      <c r="U41" s="961"/>
      <c r="V41" s="90"/>
      <c r="W41" s="90"/>
      <c r="X41" s="960" t="str">
        <f>VLOOKUP("Steher Nr.",Sprachindex!$A:$Z,Haftungsausschluß!$O$6,FALSE)</f>
        <v>Steher Nr.</v>
      </c>
      <c r="Y41" s="961"/>
      <c r="Z41" s="960" t="str">
        <f>VLOOKUP("Durchbiegung",Sprachindex!$A:$Z,Haftungsausschluß!$O$6,FALSE)</f>
        <v>Durchbiegung</v>
      </c>
      <c r="AA41" s="961"/>
      <c r="AB41" s="960" t="str">
        <f>VLOOKUP("Tragsicherheitsauslastung",Sprachindex!$A:$Z,Haftungsausschluß!$O$6,FALSE)</f>
        <v>Tragsicherheitsauslastung</v>
      </c>
      <c r="AC41" s="966"/>
      <c r="AD41" s="966"/>
      <c r="AE41" s="961"/>
      <c r="AF41" s="90"/>
      <c r="AG41" s="90"/>
      <c r="AH41" s="91"/>
      <c r="AI41" s="90"/>
      <c r="AJ41" s="90"/>
      <c r="AK41" s="90"/>
      <c r="AL41" s="90"/>
      <c r="AM41" s="90"/>
      <c r="AN41" s="90"/>
      <c r="AO41" s="425"/>
      <c r="AP41" s="425"/>
      <c r="AQ41" s="425"/>
      <c r="AR41" s="425"/>
      <c r="AS41" s="423"/>
      <c r="AT41" s="41"/>
      <c r="AU41" s="41"/>
      <c r="AV41" s="503" t="s">
        <v>1589</v>
      </c>
      <c r="AW41" s="504" t="s">
        <v>959</v>
      </c>
      <c r="AX41" s="505" t="s">
        <v>3004</v>
      </c>
      <c r="AY41" s="322" t="s">
        <v>3006</v>
      </c>
      <c r="AZ41" s="322"/>
      <c r="BA41" s="114"/>
      <c r="BB41" s="114"/>
      <c r="BC41" s="114"/>
      <c r="BD41" s="41"/>
    </row>
    <row r="42" spans="1:747" s="41" customFormat="1" ht="14.4">
      <c r="A42" s="244"/>
      <c r="B42" s="245"/>
      <c r="C42" s="945">
        <v>1</v>
      </c>
      <c r="D42" s="945"/>
      <c r="E42" s="946"/>
      <c r="F42" s="946"/>
      <c r="G42" s="946"/>
      <c r="H42" s="947"/>
      <c r="I42" s="947"/>
      <c r="J42" s="947"/>
      <c r="K42" s="92"/>
      <c r="L42" s="44"/>
      <c r="M42" s="282">
        <v>1136</v>
      </c>
      <c r="N42" s="948">
        <v>1</v>
      </c>
      <c r="O42" s="948"/>
      <c r="P42" s="584" t="s">
        <v>4133</v>
      </c>
      <c r="Q42" s="585"/>
      <c r="R42" s="949"/>
      <c r="S42" s="949"/>
      <c r="T42" s="950"/>
      <c r="U42" s="950"/>
      <c r="V42" s="100"/>
      <c r="W42" s="44"/>
      <c r="X42" s="951"/>
      <c r="Y42" s="951"/>
      <c r="Z42" s="98"/>
      <c r="AA42" s="99"/>
      <c r="AB42" s="950"/>
      <c r="AC42" s="950"/>
      <c r="AD42" s="950"/>
      <c r="AE42" s="950"/>
      <c r="AO42" s="423"/>
      <c r="AP42" s="423"/>
      <c r="AQ42" s="423"/>
      <c r="AR42" s="423"/>
      <c r="AS42" s="423"/>
      <c r="AV42" s="499">
        <v>5</v>
      </c>
      <c r="AW42" s="500">
        <v>1086</v>
      </c>
      <c r="AX42" s="506" t="s">
        <v>3005</v>
      </c>
      <c r="AY42" s="507"/>
      <c r="AZ42" s="322"/>
      <c r="BA42" s="114"/>
      <c r="BB42" s="114"/>
      <c r="BC42" s="114"/>
      <c r="ABS42" s="41">
        <v>0.78</v>
      </c>
    </row>
    <row r="43" spans="1:747" s="41" customFormat="1" ht="14.4" hidden="1">
      <c r="A43" s="244"/>
      <c r="B43" s="245"/>
      <c r="C43" s="945"/>
      <c r="D43" s="945"/>
      <c r="E43" s="946"/>
      <c r="F43" s="946"/>
      <c r="G43" s="946"/>
      <c r="H43" s="947"/>
      <c r="I43" s="947"/>
      <c r="J43" s="947"/>
      <c r="K43" s="92"/>
      <c r="L43" s="44"/>
      <c r="M43" s="282">
        <v>531.5</v>
      </c>
      <c r="N43" s="948"/>
      <c r="O43" s="948"/>
      <c r="P43" s="584"/>
      <c r="Q43" s="766"/>
      <c r="R43" s="949"/>
      <c r="S43" s="949"/>
      <c r="T43" s="950"/>
      <c r="U43" s="950"/>
      <c r="V43" s="100"/>
      <c r="W43" s="44"/>
      <c r="X43" s="951"/>
      <c r="Y43" s="951"/>
      <c r="Z43" s="98"/>
      <c r="AA43" s="99"/>
      <c r="AB43" s="950"/>
      <c r="AC43" s="950"/>
      <c r="AD43" s="950"/>
      <c r="AE43" s="950"/>
      <c r="AI43" s="41">
        <v>1086</v>
      </c>
      <c r="AJ43" s="41" t="s">
        <v>2828</v>
      </c>
      <c r="AK43" s="41">
        <v>4.12</v>
      </c>
      <c r="AL43" s="41" t="s">
        <v>2830</v>
      </c>
      <c r="AM43" s="41">
        <v>1000</v>
      </c>
      <c r="AN43" s="41" t="s">
        <v>2829</v>
      </c>
      <c r="AO43" s="423">
        <v>4.4743199999999996</v>
      </c>
      <c r="AP43" s="423"/>
      <c r="AQ43" s="423"/>
      <c r="AR43" s="423"/>
      <c r="AS43" s="423"/>
      <c r="AV43" s="499"/>
      <c r="AW43" s="500"/>
      <c r="AX43" s="506">
        <v>1086</v>
      </c>
      <c r="AY43" s="507">
        <v>5</v>
      </c>
      <c r="AZ43" s="322"/>
      <c r="BA43" s="114"/>
      <c r="BB43" s="114"/>
      <c r="BC43" s="114"/>
      <c r="ABS43" s="41">
        <v>0.78</v>
      </c>
    </row>
    <row r="44" spans="1:747" s="41" customFormat="1" ht="14.4" hidden="1">
      <c r="A44" s="244"/>
      <c r="B44" s="245"/>
      <c r="C44" s="951"/>
      <c r="D44" s="951"/>
      <c r="E44" s="967"/>
      <c r="F44" s="967"/>
      <c r="G44" s="967"/>
      <c r="H44" s="968"/>
      <c r="I44" s="968"/>
      <c r="J44" s="968"/>
      <c r="K44" s="92"/>
      <c r="L44" s="44"/>
      <c r="M44" s="282"/>
      <c r="N44" s="969"/>
      <c r="O44" s="969"/>
      <c r="P44" s="98"/>
      <c r="Q44" s="586"/>
      <c r="R44" s="950"/>
      <c r="S44" s="950"/>
      <c r="T44" s="950"/>
      <c r="U44" s="950"/>
      <c r="V44" s="44"/>
      <c r="W44" s="44"/>
      <c r="X44" s="951"/>
      <c r="Y44" s="951"/>
      <c r="Z44" s="98"/>
      <c r="AA44" s="99"/>
      <c r="AB44" s="950"/>
      <c r="AC44" s="950"/>
      <c r="AD44" s="950"/>
      <c r="AE44" s="950"/>
      <c r="AI44" s="41">
        <v>481.5</v>
      </c>
      <c r="AJ44" s="41" t="s">
        <v>2828</v>
      </c>
      <c r="AK44" s="41">
        <v>4.12</v>
      </c>
      <c r="AL44" s="41" t="s">
        <v>2830</v>
      </c>
      <c r="AM44" s="41">
        <v>1000</v>
      </c>
      <c r="AN44" s="41" t="s">
        <v>2829</v>
      </c>
      <c r="AO44" s="423">
        <v>1.9837799999999999</v>
      </c>
      <c r="AP44" s="423"/>
      <c r="AQ44" s="423"/>
      <c r="AR44" s="423"/>
      <c r="AS44" s="423"/>
      <c r="AV44" s="499"/>
      <c r="AW44" s="500"/>
      <c r="AX44"/>
      <c r="AY44"/>
      <c r="AZ44" s="322"/>
      <c r="BA44" s="114"/>
      <c r="BB44" s="114" t="s">
        <v>1589</v>
      </c>
      <c r="BC44" s="114" t="s">
        <v>959</v>
      </c>
      <c r="ABS44" s="41">
        <v>0.78</v>
      </c>
    </row>
    <row r="45" spans="1:747" s="41" customFormat="1" ht="14.4" hidden="1">
      <c r="A45" s="244"/>
      <c r="B45" s="245"/>
      <c r="C45" s="951"/>
      <c r="D45" s="951"/>
      <c r="E45" s="967"/>
      <c r="F45" s="967"/>
      <c r="G45" s="967"/>
      <c r="H45" s="968"/>
      <c r="I45" s="968"/>
      <c r="J45" s="968"/>
      <c r="K45" s="92"/>
      <c r="L45" s="44"/>
      <c r="M45" s="282"/>
      <c r="N45" s="969"/>
      <c r="O45" s="969"/>
      <c r="P45" s="98"/>
      <c r="Q45" s="99"/>
      <c r="R45" s="950"/>
      <c r="S45" s="950"/>
      <c r="T45" s="950"/>
      <c r="U45" s="950"/>
      <c r="V45" s="44"/>
      <c r="W45" s="44"/>
      <c r="X45" s="951"/>
      <c r="Y45" s="951"/>
      <c r="Z45" s="98"/>
      <c r="AA45" s="99"/>
      <c r="AB45" s="950"/>
      <c r="AC45" s="950"/>
      <c r="AD45" s="950"/>
      <c r="AE45" s="950"/>
      <c r="AI45" s="41">
        <v>2662</v>
      </c>
      <c r="AJ45" s="41" t="s">
        <v>2828</v>
      </c>
      <c r="AK45" s="41">
        <v>4.12</v>
      </c>
      <c r="AL45" s="41" t="s">
        <v>2830</v>
      </c>
      <c r="AM45" s="41">
        <v>1000</v>
      </c>
      <c r="AN45" s="41" t="s">
        <v>2829</v>
      </c>
      <c r="AO45" s="423">
        <v>10.96744</v>
      </c>
      <c r="AP45" s="423"/>
      <c r="AQ45" s="423"/>
      <c r="AR45" s="423"/>
      <c r="AS45" s="423"/>
      <c r="AV45" s="499"/>
      <c r="AW45" s="500"/>
      <c r="AX45"/>
      <c r="AY45"/>
      <c r="AZ45" s="322"/>
      <c r="BA45" s="114"/>
      <c r="BB45" s="114" t="s">
        <v>3025</v>
      </c>
      <c r="BC45" s="114">
        <v>5395</v>
      </c>
      <c r="ABS45" s="41">
        <v>0.78</v>
      </c>
    </row>
    <row r="46" spans="1:747" s="41" customFormat="1" ht="14.4" hidden="1">
      <c r="A46" s="244"/>
      <c r="B46" s="245"/>
      <c r="C46" s="951"/>
      <c r="D46" s="951"/>
      <c r="E46" s="967"/>
      <c r="F46" s="967"/>
      <c r="G46" s="967"/>
      <c r="H46" s="968"/>
      <c r="I46" s="968"/>
      <c r="J46" s="968"/>
      <c r="K46" s="92"/>
      <c r="L46" s="44"/>
      <c r="M46" s="282"/>
      <c r="N46" s="969"/>
      <c r="O46" s="969"/>
      <c r="P46" s="98"/>
      <c r="Q46" s="99"/>
      <c r="R46" s="950"/>
      <c r="S46" s="950"/>
      <c r="T46" s="950"/>
      <c r="U46" s="950"/>
      <c r="V46" s="44"/>
      <c r="W46" s="44"/>
      <c r="X46" s="951"/>
      <c r="Y46" s="951"/>
      <c r="Z46" s="98"/>
      <c r="AA46" s="99"/>
      <c r="AB46" s="950"/>
      <c r="AC46" s="950"/>
      <c r="AD46" s="950"/>
      <c r="AE46" s="950"/>
      <c r="AI46" s="41">
        <v>1577.2</v>
      </c>
      <c r="AJ46" s="41" t="s">
        <v>2828</v>
      </c>
      <c r="AK46" s="41">
        <v>4.12</v>
      </c>
      <c r="AL46" s="41" t="s">
        <v>2830</v>
      </c>
      <c r="AM46" s="41">
        <v>1000</v>
      </c>
      <c r="AN46" s="41" t="s">
        <v>2829</v>
      </c>
      <c r="AO46" s="423">
        <v>6.4980640000000003</v>
      </c>
      <c r="AP46" s="423"/>
      <c r="AQ46" s="423"/>
      <c r="AR46" s="423"/>
      <c r="AS46" s="423"/>
      <c r="AV46" s="499"/>
      <c r="AW46" s="500"/>
      <c r="AX46"/>
      <c r="AY46"/>
      <c r="AZ46" s="322"/>
      <c r="BA46" s="114"/>
      <c r="BB46" s="114"/>
      <c r="BC46" s="114"/>
    </row>
    <row r="47" spans="1:747" s="41" customFormat="1" ht="14.4" hidden="1">
      <c r="A47" s="244"/>
      <c r="B47" s="245"/>
      <c r="C47" s="951"/>
      <c r="D47" s="951"/>
      <c r="E47" s="967"/>
      <c r="F47" s="967"/>
      <c r="G47" s="967"/>
      <c r="H47" s="968"/>
      <c r="I47" s="968"/>
      <c r="J47" s="968"/>
      <c r="K47" s="92"/>
      <c r="L47" s="44"/>
      <c r="M47" s="282"/>
      <c r="N47" s="969"/>
      <c r="O47" s="969"/>
      <c r="P47" s="98"/>
      <c r="Q47" s="99"/>
      <c r="R47" s="950"/>
      <c r="S47" s="950"/>
      <c r="T47" s="950"/>
      <c r="U47" s="950"/>
      <c r="V47" s="44"/>
      <c r="W47" s="44"/>
      <c r="X47" s="951"/>
      <c r="Y47" s="951"/>
      <c r="Z47" s="98"/>
      <c r="AA47" s="99"/>
      <c r="AB47" s="950"/>
      <c r="AC47" s="950"/>
      <c r="AD47" s="950"/>
      <c r="AE47" s="950"/>
      <c r="AI47" s="41">
        <v>1577.2</v>
      </c>
      <c r="AJ47" s="41" t="s">
        <v>2828</v>
      </c>
      <c r="AK47" s="41">
        <v>4.12</v>
      </c>
      <c r="AL47" s="41" t="s">
        <v>2830</v>
      </c>
      <c r="AM47" s="41">
        <v>1000</v>
      </c>
      <c r="AN47" s="41" t="s">
        <v>2829</v>
      </c>
      <c r="AO47" s="423">
        <v>6.4980640000000003</v>
      </c>
      <c r="AP47" s="423"/>
      <c r="AQ47" s="423"/>
      <c r="AR47" s="423"/>
      <c r="AS47" s="423"/>
      <c r="AV47" s="410"/>
      <c r="AW47" s="412"/>
      <c r="AX47"/>
      <c r="AY47"/>
      <c r="AZ47"/>
    </row>
    <row r="48" spans="1:747" s="41" customFormat="1" ht="14.4" hidden="1">
      <c r="A48" s="244"/>
      <c r="B48" s="245"/>
      <c r="C48" s="951"/>
      <c r="D48" s="951"/>
      <c r="E48" s="967"/>
      <c r="F48" s="967"/>
      <c r="G48" s="967"/>
      <c r="H48" s="968"/>
      <c r="I48" s="968"/>
      <c r="J48" s="968"/>
      <c r="K48" s="92"/>
      <c r="L48" s="44"/>
      <c r="M48" s="282"/>
      <c r="N48" s="969"/>
      <c r="O48" s="969"/>
      <c r="P48" s="98"/>
      <c r="Q48" s="99"/>
      <c r="R48" s="950"/>
      <c r="S48" s="950"/>
      <c r="T48" s="950"/>
      <c r="U48" s="950"/>
      <c r="V48" s="44"/>
      <c r="W48" s="44"/>
      <c r="X48" s="951"/>
      <c r="Y48" s="951"/>
      <c r="Z48" s="98"/>
      <c r="AA48" s="99"/>
      <c r="AB48" s="950"/>
      <c r="AC48" s="950"/>
      <c r="AD48" s="950"/>
      <c r="AE48" s="950"/>
      <c r="AI48" s="41">
        <v>63</v>
      </c>
      <c r="AJ48" s="41" t="s">
        <v>2828</v>
      </c>
      <c r="AK48" s="41">
        <v>4.12</v>
      </c>
      <c r="AL48" s="41" t="s">
        <v>2830</v>
      </c>
      <c r="AM48" s="41">
        <v>1000</v>
      </c>
      <c r="AN48" s="41" t="s">
        <v>2829</v>
      </c>
      <c r="AO48" s="423">
        <v>0.25956000000000001</v>
      </c>
      <c r="AP48" s="423"/>
      <c r="AQ48" s="423"/>
      <c r="AR48" s="423"/>
      <c r="AS48" s="423"/>
      <c r="AV48" s="410"/>
      <c r="AW48" s="412"/>
      <c r="AX48"/>
      <c r="AY48"/>
      <c r="AZ48"/>
    </row>
    <row r="49" spans="1:52" s="41" customFormat="1" ht="14.4" hidden="1">
      <c r="A49" s="244"/>
      <c r="B49" s="245"/>
      <c r="C49" s="951"/>
      <c r="D49" s="951"/>
      <c r="E49" s="967"/>
      <c r="F49" s="967"/>
      <c r="G49" s="967"/>
      <c r="H49" s="968"/>
      <c r="I49" s="968"/>
      <c r="J49" s="968"/>
      <c r="K49" s="92"/>
      <c r="L49" s="44"/>
      <c r="M49" s="282"/>
      <c r="N49" s="969"/>
      <c r="O49" s="969"/>
      <c r="P49" s="98"/>
      <c r="Q49" s="99"/>
      <c r="R49" s="950"/>
      <c r="S49" s="950"/>
      <c r="T49" s="950"/>
      <c r="U49" s="950"/>
      <c r="V49" s="44"/>
      <c r="W49" s="44"/>
      <c r="X49" s="951"/>
      <c r="Y49" s="951"/>
      <c r="Z49" s="98"/>
      <c r="AA49" s="99"/>
      <c r="AB49" s="950"/>
      <c r="AC49" s="950"/>
      <c r="AD49" s="950"/>
      <c r="AE49" s="950"/>
      <c r="AI49" s="41">
        <v>63</v>
      </c>
      <c r="AJ49" s="41" t="s">
        <v>2828</v>
      </c>
      <c r="AK49" s="41">
        <v>4.12</v>
      </c>
      <c r="AL49" s="41" t="s">
        <v>2830</v>
      </c>
      <c r="AM49" s="41">
        <v>1000</v>
      </c>
      <c r="AN49" s="41" t="s">
        <v>2829</v>
      </c>
      <c r="AO49" s="423">
        <v>0.25956000000000001</v>
      </c>
      <c r="AP49" s="423"/>
      <c r="AQ49" s="423"/>
      <c r="AR49" s="423"/>
      <c r="AS49" s="423"/>
      <c r="AV49" s="410"/>
      <c r="AW49" s="412"/>
      <c r="AX49"/>
      <c r="AY49"/>
      <c r="AZ49"/>
    </row>
    <row r="50" spans="1:52" s="41" customFormat="1" ht="14.4" hidden="1">
      <c r="A50" s="244"/>
      <c r="B50" s="245"/>
      <c r="C50" s="951"/>
      <c r="D50" s="951"/>
      <c r="E50" s="967"/>
      <c r="F50" s="967"/>
      <c r="G50" s="967"/>
      <c r="H50" s="968"/>
      <c r="I50" s="968"/>
      <c r="J50" s="968"/>
      <c r="K50" s="92"/>
      <c r="L50" s="44"/>
      <c r="M50" s="282"/>
      <c r="N50" s="969"/>
      <c r="O50" s="969"/>
      <c r="P50" s="98"/>
      <c r="Q50" s="99"/>
      <c r="R50" s="950"/>
      <c r="S50" s="950"/>
      <c r="T50" s="950"/>
      <c r="U50" s="950"/>
      <c r="V50" s="44"/>
      <c r="W50" s="44"/>
      <c r="X50" s="951"/>
      <c r="Y50" s="951"/>
      <c r="Z50" s="98"/>
      <c r="AA50" s="99"/>
      <c r="AB50" s="950"/>
      <c r="AC50" s="950"/>
      <c r="AD50" s="950"/>
      <c r="AE50" s="950"/>
      <c r="AI50" s="41">
        <v>63</v>
      </c>
      <c r="AJ50" s="41" t="s">
        <v>2828</v>
      </c>
      <c r="AK50" s="41">
        <v>4.12</v>
      </c>
      <c r="AL50" s="41" t="s">
        <v>2830</v>
      </c>
      <c r="AM50" s="41">
        <v>1000</v>
      </c>
      <c r="AN50" s="41" t="s">
        <v>2829</v>
      </c>
      <c r="AO50" s="423">
        <v>0.25956000000000001</v>
      </c>
      <c r="AP50" s="423"/>
      <c r="AQ50" s="423"/>
      <c r="AR50" s="423"/>
      <c r="AS50" s="423"/>
      <c r="AV50" s="410"/>
      <c r="AW50" s="412"/>
      <c r="AX50"/>
      <c r="AY50"/>
      <c r="AZ50"/>
    </row>
    <row r="51" spans="1:52" s="41" customFormat="1" ht="14.4" hidden="1">
      <c r="A51" s="244"/>
      <c r="B51" s="245"/>
      <c r="C51" s="951"/>
      <c r="D51" s="951"/>
      <c r="E51" s="967"/>
      <c r="F51" s="967"/>
      <c r="G51" s="967"/>
      <c r="H51" s="968"/>
      <c r="I51" s="968"/>
      <c r="J51" s="968"/>
      <c r="K51" s="92"/>
      <c r="L51" s="44"/>
      <c r="M51" s="282"/>
      <c r="N51" s="969"/>
      <c r="O51" s="969"/>
      <c r="P51" s="98"/>
      <c r="Q51" s="99"/>
      <c r="R51" s="950"/>
      <c r="S51" s="950"/>
      <c r="T51" s="950"/>
      <c r="U51" s="950"/>
      <c r="V51" s="44"/>
      <c r="W51" s="44"/>
      <c r="X51" s="951"/>
      <c r="Y51" s="951"/>
      <c r="Z51" s="98"/>
      <c r="AA51" s="99"/>
      <c r="AB51" s="950"/>
      <c r="AC51" s="950"/>
      <c r="AD51" s="950"/>
      <c r="AE51" s="950"/>
      <c r="AI51" s="41">
        <v>63</v>
      </c>
      <c r="AJ51" s="41" t="s">
        <v>2828</v>
      </c>
      <c r="AK51" s="41">
        <v>4.12</v>
      </c>
      <c r="AL51" s="41" t="s">
        <v>2830</v>
      </c>
      <c r="AM51" s="41">
        <v>1000</v>
      </c>
      <c r="AN51" s="41" t="s">
        <v>2829</v>
      </c>
      <c r="AO51" s="423">
        <v>0.25956000000000001</v>
      </c>
      <c r="AP51" s="423"/>
      <c r="AQ51" s="423"/>
      <c r="AR51" s="423"/>
      <c r="AS51" s="423"/>
      <c r="AV51" s="410"/>
      <c r="AW51" s="412"/>
      <c r="AX51"/>
      <c r="AY51"/>
      <c r="AZ51"/>
    </row>
    <row r="52" spans="1:52" s="41" customFormat="1" ht="14.4" hidden="1">
      <c r="A52" s="244"/>
      <c r="B52" s="245"/>
      <c r="C52" s="951"/>
      <c r="D52" s="951"/>
      <c r="E52" s="967"/>
      <c r="F52" s="967"/>
      <c r="G52" s="967"/>
      <c r="H52" s="968"/>
      <c r="I52" s="968"/>
      <c r="J52" s="968"/>
      <c r="K52" s="92"/>
      <c r="L52" s="44"/>
      <c r="M52" s="282"/>
      <c r="N52" s="969"/>
      <c r="O52" s="969"/>
      <c r="P52" s="98"/>
      <c r="Q52" s="99"/>
      <c r="R52" s="950"/>
      <c r="S52" s="950"/>
      <c r="T52" s="950"/>
      <c r="U52" s="950"/>
      <c r="V52" s="44"/>
      <c r="W52" s="44"/>
      <c r="X52" s="951"/>
      <c r="Y52" s="951"/>
      <c r="Z52" s="98"/>
      <c r="AA52" s="99"/>
      <c r="AB52" s="950"/>
      <c r="AC52" s="950"/>
      <c r="AD52" s="950"/>
      <c r="AE52" s="950"/>
      <c r="AI52" s="41">
        <v>63</v>
      </c>
      <c r="AJ52" s="41" t="s">
        <v>2828</v>
      </c>
      <c r="AK52" s="41">
        <v>4.12</v>
      </c>
      <c r="AL52" s="41" t="s">
        <v>2830</v>
      </c>
      <c r="AM52" s="41">
        <v>1000</v>
      </c>
      <c r="AN52" s="41" t="s">
        <v>2829</v>
      </c>
      <c r="AO52" s="423">
        <v>0.25956000000000001</v>
      </c>
      <c r="AP52" s="423"/>
      <c r="AQ52" s="423"/>
      <c r="AR52" s="423"/>
      <c r="AS52" s="423"/>
      <c r="AV52" s="410"/>
      <c r="AW52" s="412"/>
      <c r="AX52"/>
      <c r="AY52"/>
      <c r="AZ52"/>
    </row>
    <row r="53" spans="1:52" s="41" customFormat="1" ht="14.4" hidden="1">
      <c r="A53" s="244"/>
      <c r="B53" s="245"/>
      <c r="C53" s="951"/>
      <c r="D53" s="951"/>
      <c r="E53" s="967"/>
      <c r="F53" s="967"/>
      <c r="G53" s="967"/>
      <c r="H53" s="968"/>
      <c r="I53" s="968"/>
      <c r="J53" s="968"/>
      <c r="K53" s="92"/>
      <c r="L53" s="44"/>
      <c r="M53" s="282"/>
      <c r="N53" s="969"/>
      <c r="O53" s="969"/>
      <c r="P53" s="98"/>
      <c r="Q53" s="99"/>
      <c r="R53" s="950"/>
      <c r="S53" s="950"/>
      <c r="T53" s="950"/>
      <c r="U53" s="950"/>
      <c r="V53" s="44"/>
      <c r="W53" s="44"/>
      <c r="X53" s="951"/>
      <c r="Y53" s="951"/>
      <c r="Z53" s="98"/>
      <c r="AA53" s="99"/>
      <c r="AB53" s="950"/>
      <c r="AC53" s="950"/>
      <c r="AD53" s="950"/>
      <c r="AE53" s="950"/>
      <c r="AI53" s="41">
        <v>229.25</v>
      </c>
      <c r="AJ53" s="41" t="s">
        <v>2828</v>
      </c>
      <c r="AK53" s="41">
        <v>7.7839999999999998</v>
      </c>
      <c r="AL53" s="41" t="s">
        <v>2830</v>
      </c>
      <c r="AM53" s="41">
        <v>1000</v>
      </c>
      <c r="AN53" s="41" t="s">
        <v>2829</v>
      </c>
      <c r="AO53" s="423">
        <v>1.7844819999999999</v>
      </c>
      <c r="AP53" s="423"/>
      <c r="AQ53" s="423"/>
      <c r="AR53" s="423"/>
      <c r="AS53" s="423"/>
      <c r="AV53" s="410"/>
      <c r="AW53" s="412"/>
      <c r="AX53"/>
      <c r="AY53"/>
      <c r="AZ53"/>
    </row>
    <row r="54" spans="1:52" s="41" customFormat="1" ht="14.4" hidden="1">
      <c r="A54" s="244"/>
      <c r="B54" s="245"/>
      <c r="C54" s="951"/>
      <c r="D54" s="951"/>
      <c r="E54" s="967"/>
      <c r="F54" s="967"/>
      <c r="G54" s="967"/>
      <c r="H54" s="968"/>
      <c r="I54" s="968"/>
      <c r="J54" s="968"/>
      <c r="K54" s="92"/>
      <c r="L54" s="44"/>
      <c r="M54" s="282"/>
      <c r="N54" s="969"/>
      <c r="O54" s="969"/>
      <c r="P54" s="98"/>
      <c r="Q54" s="99"/>
      <c r="R54" s="950"/>
      <c r="S54" s="950"/>
      <c r="T54" s="950"/>
      <c r="U54" s="950"/>
      <c r="V54" s="44"/>
      <c r="W54" s="44"/>
      <c r="X54" s="951"/>
      <c r="Y54" s="951"/>
      <c r="Z54" s="98"/>
      <c r="AA54" s="99"/>
      <c r="AB54" s="950"/>
      <c r="AC54" s="950"/>
      <c r="AD54" s="950"/>
      <c r="AE54" s="950"/>
      <c r="AI54" s="41">
        <v>229.25</v>
      </c>
      <c r="AJ54" s="41" t="s">
        <v>2828</v>
      </c>
      <c r="AK54" s="41">
        <v>7.7839999999999998</v>
      </c>
      <c r="AL54" s="41" t="s">
        <v>2830</v>
      </c>
      <c r="AM54" s="41">
        <v>1000</v>
      </c>
      <c r="AN54" s="41" t="s">
        <v>2829</v>
      </c>
      <c r="AO54" s="423">
        <v>1.7844819999999999</v>
      </c>
      <c r="AP54" s="423"/>
      <c r="AQ54" s="423"/>
      <c r="AR54" s="423"/>
      <c r="AS54" s="423"/>
      <c r="AV54" s="410"/>
      <c r="AW54" s="412"/>
      <c r="AX54"/>
      <c r="AY54"/>
      <c r="AZ54"/>
    </row>
    <row r="55" spans="1:52" s="41" customFormat="1" ht="14.4" hidden="1">
      <c r="A55" s="244"/>
      <c r="B55" s="245"/>
      <c r="C55" s="951"/>
      <c r="D55" s="951"/>
      <c r="E55" s="967"/>
      <c r="F55" s="967"/>
      <c r="G55" s="967"/>
      <c r="H55" s="968"/>
      <c r="I55" s="968"/>
      <c r="J55" s="968"/>
      <c r="K55" s="92"/>
      <c r="L55" s="44"/>
      <c r="M55" s="282"/>
      <c r="N55" s="969"/>
      <c r="O55" s="969"/>
      <c r="P55" s="98"/>
      <c r="Q55" s="99"/>
      <c r="R55" s="950"/>
      <c r="S55" s="950"/>
      <c r="T55" s="950"/>
      <c r="U55" s="950"/>
      <c r="V55" s="44"/>
      <c r="W55" s="44"/>
      <c r="X55" s="951"/>
      <c r="Y55" s="951"/>
      <c r="Z55" s="98"/>
      <c r="AA55" s="99"/>
      <c r="AB55" s="950"/>
      <c r="AC55" s="950"/>
      <c r="AD55" s="950"/>
      <c r="AE55" s="950"/>
      <c r="AI55" s="41">
        <v>229.25</v>
      </c>
      <c r="AJ55" s="41" t="s">
        <v>2828</v>
      </c>
      <c r="AK55" s="41">
        <v>7.7839999999999998</v>
      </c>
      <c r="AL55" s="41" t="s">
        <v>2830</v>
      </c>
      <c r="AM55" s="41">
        <v>1000</v>
      </c>
      <c r="AN55" s="41" t="s">
        <v>2829</v>
      </c>
      <c r="AO55" s="423">
        <v>1.7844819999999999</v>
      </c>
      <c r="AP55" s="423"/>
      <c r="AQ55" s="423"/>
      <c r="AR55" s="423"/>
      <c r="AS55" s="423"/>
      <c r="AV55" s="410"/>
      <c r="AW55" s="412"/>
      <c r="AX55"/>
      <c r="AY55"/>
      <c r="AZ55"/>
    </row>
    <row r="56" spans="1:52" s="41" customFormat="1" ht="14.4" hidden="1">
      <c r="A56" s="244"/>
      <c r="B56" s="245"/>
      <c r="C56" s="951"/>
      <c r="D56" s="951"/>
      <c r="E56" s="967"/>
      <c r="F56" s="967"/>
      <c r="G56" s="967"/>
      <c r="H56" s="968"/>
      <c r="I56" s="968"/>
      <c r="J56" s="968"/>
      <c r="K56" s="92"/>
      <c r="L56" s="44"/>
      <c r="M56" s="282"/>
      <c r="N56" s="969"/>
      <c r="O56" s="969"/>
      <c r="P56" s="98"/>
      <c r="Q56" s="99"/>
      <c r="R56" s="950"/>
      <c r="S56" s="950"/>
      <c r="T56" s="950"/>
      <c r="U56" s="950"/>
      <c r="V56" s="44"/>
      <c r="W56" s="44"/>
      <c r="X56" s="951"/>
      <c r="Y56" s="951"/>
      <c r="Z56" s="98"/>
      <c r="AA56" s="99"/>
      <c r="AB56" s="950"/>
      <c r="AC56" s="950"/>
      <c r="AD56" s="950"/>
      <c r="AE56" s="950"/>
      <c r="AI56" s="41">
        <v>229.25</v>
      </c>
      <c r="AJ56" s="41" t="s">
        <v>2828</v>
      </c>
      <c r="AK56" s="41">
        <v>7.7839999999999998</v>
      </c>
      <c r="AL56" s="41" t="s">
        <v>2830</v>
      </c>
      <c r="AM56" s="41">
        <v>1000</v>
      </c>
      <c r="AN56" s="41" t="s">
        <v>2829</v>
      </c>
      <c r="AO56" s="423">
        <v>1.7844819999999999</v>
      </c>
      <c r="AP56" s="423"/>
      <c r="AQ56" s="423"/>
      <c r="AR56" s="423"/>
      <c r="AS56" s="423"/>
      <c r="AV56" s="410"/>
      <c r="AW56" s="412"/>
      <c r="AX56"/>
      <c r="AY56"/>
      <c r="AZ56"/>
    </row>
    <row r="57" spans="1:52" s="41" customFormat="1" ht="14.4" hidden="1">
      <c r="A57" s="244"/>
      <c r="B57" s="245"/>
      <c r="C57" s="951"/>
      <c r="D57" s="951"/>
      <c r="E57" s="967"/>
      <c r="F57" s="967"/>
      <c r="G57" s="967"/>
      <c r="H57" s="968"/>
      <c r="I57" s="968"/>
      <c r="J57" s="968"/>
      <c r="K57" s="92"/>
      <c r="L57" s="44"/>
      <c r="M57" s="282"/>
      <c r="N57" s="969"/>
      <c r="O57" s="969"/>
      <c r="P57" s="98"/>
      <c r="Q57" s="99"/>
      <c r="R57" s="950"/>
      <c r="S57" s="950"/>
      <c r="T57" s="950"/>
      <c r="U57" s="950"/>
      <c r="V57" s="44"/>
      <c r="W57" s="44"/>
      <c r="X57" s="951"/>
      <c r="Y57" s="951"/>
      <c r="Z57" s="98"/>
      <c r="AA57" s="99"/>
      <c r="AB57" s="950"/>
      <c r="AC57" s="950"/>
      <c r="AD57" s="950"/>
      <c r="AE57" s="950"/>
      <c r="AI57" s="41">
        <v>229.25</v>
      </c>
      <c r="AJ57" s="41" t="s">
        <v>2828</v>
      </c>
      <c r="AK57" s="41">
        <v>7.7839999999999998</v>
      </c>
      <c r="AL57" s="41" t="s">
        <v>2830</v>
      </c>
      <c r="AM57" s="41">
        <v>1000</v>
      </c>
      <c r="AN57" s="41" t="s">
        <v>2829</v>
      </c>
      <c r="AO57" s="423">
        <v>1.7844819999999999</v>
      </c>
      <c r="AP57" s="423"/>
      <c r="AQ57" s="423"/>
      <c r="AR57" s="423"/>
      <c r="AS57" s="423"/>
      <c r="AV57" s="410"/>
      <c r="AW57" s="412"/>
      <c r="AX57"/>
      <c r="AY57"/>
      <c r="AZ57"/>
    </row>
    <row r="58" spans="1:52" s="41" customFormat="1" ht="14.4" hidden="1">
      <c r="A58" s="244"/>
      <c r="B58" s="245"/>
      <c r="C58" s="951"/>
      <c r="D58" s="951"/>
      <c r="E58" s="967"/>
      <c r="F58" s="967"/>
      <c r="G58" s="967"/>
      <c r="H58" s="968"/>
      <c r="I58" s="968"/>
      <c r="J58" s="968"/>
      <c r="K58" s="92"/>
      <c r="L58" s="44"/>
      <c r="M58" s="282"/>
      <c r="N58" s="969"/>
      <c r="O58" s="969"/>
      <c r="P58" s="98"/>
      <c r="Q58" s="99"/>
      <c r="R58" s="950"/>
      <c r="S58" s="950"/>
      <c r="T58" s="950"/>
      <c r="U58" s="950"/>
      <c r="V58" s="44"/>
      <c r="W58" s="44"/>
      <c r="X58" s="951"/>
      <c r="Y58" s="951"/>
      <c r="Z58" s="98"/>
      <c r="AA58" s="99"/>
      <c r="AB58" s="950"/>
      <c r="AC58" s="950"/>
      <c r="AD58" s="950"/>
      <c r="AE58" s="950"/>
      <c r="AI58" s="41">
        <v>229.25</v>
      </c>
      <c r="AJ58" s="41" t="s">
        <v>2828</v>
      </c>
      <c r="AK58" s="41">
        <v>7.7839999999999998</v>
      </c>
      <c r="AL58" s="41" t="s">
        <v>2830</v>
      </c>
      <c r="AM58" s="41">
        <v>1000</v>
      </c>
      <c r="AN58" s="41" t="s">
        <v>2829</v>
      </c>
      <c r="AO58" s="423">
        <v>1.7844819999999999</v>
      </c>
      <c r="AP58" s="423"/>
      <c r="AQ58" s="423"/>
      <c r="AR58" s="423"/>
      <c r="AS58" s="423"/>
      <c r="AV58" s="410"/>
      <c r="AW58" s="412"/>
      <c r="AX58"/>
      <c r="AY58"/>
      <c r="AZ58"/>
    </row>
    <row r="59" spans="1:52" s="41" customFormat="1" ht="14.4" hidden="1">
      <c r="A59" s="244"/>
      <c r="B59" s="245"/>
      <c r="C59" s="951"/>
      <c r="D59" s="951"/>
      <c r="E59" s="967"/>
      <c r="F59" s="967"/>
      <c r="G59" s="967"/>
      <c r="H59" s="968"/>
      <c r="I59" s="968"/>
      <c r="J59" s="968"/>
      <c r="K59" s="92"/>
      <c r="L59" s="44"/>
      <c r="M59" s="282"/>
      <c r="N59" s="969"/>
      <c r="O59" s="969"/>
      <c r="P59" s="98"/>
      <c r="Q59" s="99"/>
      <c r="R59" s="950"/>
      <c r="S59" s="950"/>
      <c r="T59" s="950"/>
      <c r="U59" s="950"/>
      <c r="V59" s="44"/>
      <c r="W59" s="44"/>
      <c r="X59" s="951"/>
      <c r="Y59" s="951"/>
      <c r="Z59" s="98"/>
      <c r="AA59" s="99"/>
      <c r="AB59" s="950"/>
      <c r="AC59" s="950"/>
      <c r="AD59" s="950"/>
      <c r="AE59" s="950"/>
      <c r="AI59" s="41">
        <v>229.25</v>
      </c>
      <c r="AJ59" s="41" t="s">
        <v>2828</v>
      </c>
      <c r="AK59" s="41">
        <v>7.7839999999999998</v>
      </c>
      <c r="AL59" s="41" t="s">
        <v>2830</v>
      </c>
      <c r="AM59" s="41">
        <v>1000</v>
      </c>
      <c r="AN59" s="41" t="s">
        <v>2829</v>
      </c>
      <c r="AO59" s="423">
        <v>1.7844819999999999</v>
      </c>
      <c r="AP59" s="423"/>
      <c r="AQ59" s="423"/>
      <c r="AR59" s="423"/>
      <c r="AS59" s="423"/>
      <c r="AV59" s="410"/>
      <c r="AW59" s="412"/>
      <c r="AX59"/>
      <c r="AY59"/>
    </row>
    <row r="60" spans="1:52" s="41" customFormat="1" ht="14.4" hidden="1">
      <c r="A60" s="244"/>
      <c r="B60" s="245"/>
      <c r="C60" s="951"/>
      <c r="D60" s="951"/>
      <c r="E60" s="967"/>
      <c r="F60" s="967"/>
      <c r="G60" s="967"/>
      <c r="H60" s="968"/>
      <c r="I60" s="968"/>
      <c r="J60" s="968"/>
      <c r="K60" s="92"/>
      <c r="L60" s="44"/>
      <c r="M60" s="282"/>
      <c r="N60" s="969"/>
      <c r="O60" s="969"/>
      <c r="P60" s="98"/>
      <c r="Q60" s="99"/>
      <c r="R60" s="950"/>
      <c r="S60" s="950"/>
      <c r="T60" s="950"/>
      <c r="U60" s="950"/>
      <c r="V60" s="44"/>
      <c r="W60" s="44"/>
      <c r="X60" s="951"/>
      <c r="Y60" s="951"/>
      <c r="Z60" s="98"/>
      <c r="AA60" s="99"/>
      <c r="AB60" s="950"/>
      <c r="AC60" s="950"/>
      <c r="AD60" s="950"/>
      <c r="AE60" s="950"/>
      <c r="AI60" s="41">
        <v>229.25</v>
      </c>
      <c r="AJ60" s="41" t="s">
        <v>2828</v>
      </c>
      <c r="AK60" s="41">
        <v>7.7839999999999998</v>
      </c>
      <c r="AL60" s="41" t="s">
        <v>2830</v>
      </c>
      <c r="AM60" s="41">
        <v>1000</v>
      </c>
      <c r="AN60" s="41" t="s">
        <v>2829</v>
      </c>
      <c r="AO60" s="423">
        <v>1.7844819999999999</v>
      </c>
      <c r="AP60" s="423"/>
      <c r="AQ60" s="423"/>
      <c r="AR60" s="423"/>
      <c r="AS60" s="423"/>
      <c r="AV60" s="410"/>
      <c r="AW60" s="412"/>
      <c r="AX60"/>
      <c r="AY60"/>
    </row>
    <row r="61" spans="1:52" s="41" customFormat="1" ht="14.4" hidden="1">
      <c r="A61" s="244"/>
      <c r="B61" s="245"/>
      <c r="C61" s="951"/>
      <c r="D61" s="951"/>
      <c r="E61" s="967"/>
      <c r="F61" s="967"/>
      <c r="G61" s="967"/>
      <c r="H61" s="968"/>
      <c r="I61" s="968"/>
      <c r="J61" s="968"/>
      <c r="K61" s="92"/>
      <c r="L61" s="44"/>
      <c r="M61" s="282"/>
      <c r="N61" s="969"/>
      <c r="O61" s="969"/>
      <c r="P61" s="98"/>
      <c r="Q61" s="99"/>
      <c r="R61" s="950"/>
      <c r="S61" s="950"/>
      <c r="T61" s="950"/>
      <c r="U61" s="950"/>
      <c r="V61" s="44"/>
      <c r="W61" s="44"/>
      <c r="X61" s="951"/>
      <c r="Y61" s="951"/>
      <c r="Z61" s="98"/>
      <c r="AA61" s="99"/>
      <c r="AB61" s="950"/>
      <c r="AC61" s="950"/>
      <c r="AD61" s="950"/>
      <c r="AE61" s="950"/>
      <c r="AI61" s="41">
        <v>229.25</v>
      </c>
      <c r="AJ61" s="41" t="s">
        <v>2828</v>
      </c>
      <c r="AK61" s="41">
        <v>7.7839999999999998</v>
      </c>
      <c r="AL61" s="41" t="s">
        <v>2830</v>
      </c>
      <c r="AM61" s="41">
        <v>1000</v>
      </c>
      <c r="AN61" s="41" t="s">
        <v>2829</v>
      </c>
      <c r="AO61" s="423">
        <v>1.7844819999999999</v>
      </c>
      <c r="AP61" s="423"/>
      <c r="AQ61" s="423"/>
      <c r="AR61" s="423"/>
      <c r="AS61" s="423"/>
      <c r="AV61" s="410"/>
      <c r="AW61" s="412"/>
      <c r="AX61"/>
      <c r="AY61"/>
    </row>
    <row r="62" spans="1:52" s="41" customFormat="1" ht="14.4" hidden="1">
      <c r="A62" s="244"/>
      <c r="B62" s="245"/>
      <c r="C62" s="951"/>
      <c r="D62" s="951"/>
      <c r="E62" s="967"/>
      <c r="F62" s="967"/>
      <c r="G62" s="967"/>
      <c r="H62" s="968"/>
      <c r="I62" s="968"/>
      <c r="J62" s="968"/>
      <c r="K62" s="92"/>
      <c r="L62" s="44"/>
      <c r="M62" s="282"/>
      <c r="N62" s="969"/>
      <c r="O62" s="969"/>
      <c r="P62" s="98"/>
      <c r="Q62" s="99"/>
      <c r="R62" s="950"/>
      <c r="S62" s="950"/>
      <c r="T62" s="950"/>
      <c r="U62" s="950"/>
      <c r="V62" s="44"/>
      <c r="W62" s="44"/>
      <c r="X62" s="951"/>
      <c r="Y62" s="951"/>
      <c r="Z62" s="98"/>
      <c r="AA62" s="99"/>
      <c r="AB62" s="950"/>
      <c r="AC62" s="950"/>
      <c r="AD62" s="950"/>
      <c r="AE62" s="950"/>
      <c r="AI62" s="41">
        <v>229.25</v>
      </c>
      <c r="AJ62" s="41" t="s">
        <v>2828</v>
      </c>
      <c r="AK62" s="41">
        <v>7.7839999999999998</v>
      </c>
      <c r="AL62" s="41" t="s">
        <v>2830</v>
      </c>
      <c r="AM62" s="41">
        <v>1000</v>
      </c>
      <c r="AN62" s="41" t="s">
        <v>2829</v>
      </c>
      <c r="AO62" s="423">
        <v>1.7844819999999999</v>
      </c>
      <c r="AP62" s="423"/>
      <c r="AQ62" s="423"/>
      <c r="AR62" s="423"/>
      <c r="AS62" s="423"/>
      <c r="AV62" s="410"/>
      <c r="AW62" s="412"/>
      <c r="AX62"/>
      <c r="AY62"/>
    </row>
    <row r="63" spans="1:52" s="41" customFormat="1" ht="14.4" hidden="1">
      <c r="A63" s="244"/>
      <c r="B63" s="245"/>
      <c r="C63" s="951"/>
      <c r="D63" s="951"/>
      <c r="E63" s="967"/>
      <c r="F63" s="967"/>
      <c r="G63" s="967"/>
      <c r="H63" s="968"/>
      <c r="I63" s="968"/>
      <c r="J63" s="968"/>
      <c r="K63" s="92"/>
      <c r="L63" s="44"/>
      <c r="M63" s="282"/>
      <c r="N63" s="969"/>
      <c r="O63" s="969"/>
      <c r="P63" s="98"/>
      <c r="Q63" s="99"/>
      <c r="R63" s="950"/>
      <c r="S63" s="950"/>
      <c r="T63" s="950"/>
      <c r="U63" s="950"/>
      <c r="V63" s="44"/>
      <c r="W63" s="44"/>
      <c r="X63" s="951"/>
      <c r="Y63" s="951"/>
      <c r="Z63" s="98"/>
      <c r="AA63" s="99"/>
      <c r="AB63" s="950"/>
      <c r="AC63" s="950"/>
      <c r="AD63" s="950"/>
      <c r="AE63" s="950"/>
      <c r="AI63" s="41">
        <v>4031.4285714285716</v>
      </c>
      <c r="AJ63" s="41" t="s">
        <v>2828</v>
      </c>
      <c r="AK63" s="41">
        <v>4.12</v>
      </c>
      <c r="AL63" s="41" t="s">
        <v>2830</v>
      </c>
      <c r="AM63" s="41">
        <v>1000</v>
      </c>
      <c r="AN63" s="41" t="s">
        <v>2829</v>
      </c>
      <c r="AO63" s="423">
        <v>16.609485714285714</v>
      </c>
      <c r="AP63" s="423"/>
      <c r="AQ63" s="423"/>
      <c r="AR63" s="423"/>
      <c r="AS63" s="423"/>
      <c r="AV63" s="410"/>
      <c r="AW63" s="412"/>
      <c r="AX63"/>
      <c r="AY63"/>
    </row>
    <row r="64" spans="1:52" s="41" customFormat="1" ht="14.4" hidden="1">
      <c r="A64" s="244"/>
      <c r="B64" s="245"/>
      <c r="C64" s="951"/>
      <c r="D64" s="951"/>
      <c r="E64" s="967"/>
      <c r="F64" s="967"/>
      <c r="G64" s="967"/>
      <c r="H64" s="968"/>
      <c r="I64" s="968"/>
      <c r="J64" s="968"/>
      <c r="K64" s="92"/>
      <c r="L64" s="44"/>
      <c r="M64" s="282"/>
      <c r="N64" s="969"/>
      <c r="O64" s="969"/>
      <c r="P64" s="98"/>
      <c r="Q64" s="99"/>
      <c r="R64" s="950"/>
      <c r="S64" s="950"/>
      <c r="T64" s="950"/>
      <c r="U64" s="950"/>
      <c r="V64" s="44"/>
      <c r="W64" s="44"/>
      <c r="X64" s="951"/>
      <c r="Y64" s="951"/>
      <c r="Z64" s="98"/>
      <c r="AA64" s="99"/>
      <c r="AB64" s="950"/>
      <c r="AC64" s="950"/>
      <c r="AD64" s="950"/>
      <c r="AE64" s="950"/>
      <c r="AI64" s="41">
        <v>4031.4285714285716</v>
      </c>
      <c r="AJ64" s="41" t="s">
        <v>2828</v>
      </c>
      <c r="AK64" s="41">
        <v>4.12</v>
      </c>
      <c r="AL64" s="41" t="s">
        <v>2830</v>
      </c>
      <c r="AM64" s="41">
        <v>1000</v>
      </c>
      <c r="AN64" s="41" t="s">
        <v>2829</v>
      </c>
      <c r="AO64" s="423">
        <v>16.609485714285714</v>
      </c>
      <c r="AP64" s="423"/>
      <c r="AQ64" s="423"/>
      <c r="AR64" s="423"/>
      <c r="AS64" s="423"/>
      <c r="AV64" s="410"/>
      <c r="AW64" s="412"/>
      <c r="AX64"/>
      <c r="AY64"/>
    </row>
    <row r="65" spans="1:51" s="41" customFormat="1" ht="14.4" hidden="1">
      <c r="A65" s="244"/>
      <c r="B65" s="245"/>
      <c r="C65" s="951"/>
      <c r="D65" s="951"/>
      <c r="E65" s="967"/>
      <c r="F65" s="967"/>
      <c r="G65" s="967"/>
      <c r="H65" s="968"/>
      <c r="I65" s="968"/>
      <c r="J65" s="968"/>
      <c r="K65" s="92"/>
      <c r="L65" s="44"/>
      <c r="M65" s="282"/>
      <c r="N65" s="969"/>
      <c r="O65" s="969"/>
      <c r="P65" s="98"/>
      <c r="Q65" s="99"/>
      <c r="R65" s="950"/>
      <c r="S65" s="950"/>
      <c r="T65" s="950"/>
      <c r="U65" s="950"/>
      <c r="V65" s="44"/>
      <c r="W65" s="44"/>
      <c r="X65" s="951"/>
      <c r="Y65" s="951"/>
      <c r="Z65" s="98"/>
      <c r="AA65" s="99"/>
      <c r="AB65" s="950"/>
      <c r="AC65" s="950"/>
      <c r="AD65" s="950"/>
      <c r="AE65" s="950"/>
      <c r="AI65" s="41">
        <v>4031.4285714285716</v>
      </c>
      <c r="AJ65" s="41" t="s">
        <v>2828</v>
      </c>
      <c r="AK65" s="41">
        <v>4.12</v>
      </c>
      <c r="AL65" s="41" t="s">
        <v>2830</v>
      </c>
      <c r="AM65" s="41">
        <v>1000</v>
      </c>
      <c r="AN65" s="41" t="s">
        <v>2829</v>
      </c>
      <c r="AO65" s="423">
        <v>16.609485714285714</v>
      </c>
      <c r="AP65" s="423"/>
      <c r="AQ65" s="423"/>
      <c r="AR65" s="423"/>
      <c r="AS65" s="423"/>
      <c r="AV65" s="410"/>
      <c r="AW65" s="412"/>
      <c r="AX65"/>
      <c r="AY65"/>
    </row>
    <row r="66" spans="1:51" s="41" customFormat="1" ht="14.4" hidden="1">
      <c r="A66" s="244"/>
      <c r="B66" s="245"/>
      <c r="C66" s="951"/>
      <c r="D66" s="951"/>
      <c r="E66" s="967"/>
      <c r="F66" s="967"/>
      <c r="G66" s="967"/>
      <c r="H66" s="968"/>
      <c r="I66" s="968"/>
      <c r="J66" s="968"/>
      <c r="K66" s="92"/>
      <c r="L66" s="44"/>
      <c r="M66" s="282"/>
      <c r="N66" s="969"/>
      <c r="O66" s="969"/>
      <c r="P66" s="98"/>
      <c r="Q66" s="99"/>
      <c r="R66" s="950"/>
      <c r="S66" s="950"/>
      <c r="T66" s="950"/>
      <c r="U66" s="950"/>
      <c r="V66" s="44"/>
      <c r="W66" s="44"/>
      <c r="X66" s="951"/>
      <c r="Y66" s="951"/>
      <c r="Z66" s="98"/>
      <c r="AA66" s="99"/>
      <c r="AB66" s="950"/>
      <c r="AC66" s="950"/>
      <c r="AD66" s="950"/>
      <c r="AE66" s="950"/>
      <c r="AI66" s="41">
        <v>4031.4285714285716</v>
      </c>
      <c r="AJ66" s="41" t="s">
        <v>2828</v>
      </c>
      <c r="AK66" s="41">
        <v>4.12</v>
      </c>
      <c r="AL66" s="41" t="s">
        <v>2830</v>
      </c>
      <c r="AM66" s="41">
        <v>1000</v>
      </c>
      <c r="AN66" s="41" t="s">
        <v>2829</v>
      </c>
      <c r="AO66" s="423">
        <v>16.609485714285714</v>
      </c>
      <c r="AP66" s="423"/>
      <c r="AQ66" s="423"/>
      <c r="AR66" s="423"/>
      <c r="AS66" s="423"/>
      <c r="AV66" s="410"/>
      <c r="AW66" s="412"/>
      <c r="AX66"/>
      <c r="AY66"/>
    </row>
    <row r="67" spans="1:51" s="41" customFormat="1" ht="14.4" hidden="1">
      <c r="A67" s="244"/>
      <c r="B67" s="245"/>
      <c r="C67" s="951"/>
      <c r="D67" s="951"/>
      <c r="E67" s="967"/>
      <c r="F67" s="967"/>
      <c r="G67" s="967"/>
      <c r="H67" s="968"/>
      <c r="I67" s="968"/>
      <c r="J67" s="968"/>
      <c r="K67" s="92"/>
      <c r="L67" s="44"/>
      <c r="M67" s="282"/>
      <c r="N67" s="969"/>
      <c r="O67" s="969"/>
      <c r="P67" s="98"/>
      <c r="Q67" s="99"/>
      <c r="R67" s="950"/>
      <c r="S67" s="950"/>
      <c r="T67" s="950"/>
      <c r="U67" s="950"/>
      <c r="V67" s="44"/>
      <c r="W67" s="44"/>
      <c r="X67" s="951"/>
      <c r="Y67" s="951"/>
      <c r="Z67" s="98"/>
      <c r="AA67" s="99"/>
      <c r="AB67" s="950"/>
      <c r="AC67" s="950"/>
      <c r="AD67" s="950"/>
      <c r="AE67" s="950"/>
      <c r="AI67" s="41">
        <v>4031.4285714285716</v>
      </c>
      <c r="AJ67" s="41" t="s">
        <v>2828</v>
      </c>
      <c r="AK67" s="41">
        <v>4.12</v>
      </c>
      <c r="AL67" s="41" t="s">
        <v>2830</v>
      </c>
      <c r="AM67" s="41">
        <v>1000</v>
      </c>
      <c r="AN67" s="41" t="s">
        <v>2829</v>
      </c>
      <c r="AO67" s="423">
        <v>16.609485714285714</v>
      </c>
      <c r="AP67" s="423"/>
      <c r="AQ67" s="423"/>
      <c r="AR67" s="423"/>
      <c r="AS67" s="423"/>
      <c r="AV67" s="410"/>
      <c r="AW67" s="412"/>
      <c r="AX67"/>
      <c r="AY67"/>
    </row>
    <row r="68" spans="1:51" s="41" customFormat="1" ht="14.4" hidden="1">
      <c r="A68" s="244"/>
      <c r="B68" s="245"/>
      <c r="C68" s="951"/>
      <c r="D68" s="951"/>
      <c r="E68" s="967"/>
      <c r="F68" s="967"/>
      <c r="G68" s="967"/>
      <c r="H68" s="968"/>
      <c r="I68" s="968"/>
      <c r="J68" s="968"/>
      <c r="K68" s="92"/>
      <c r="L68" s="44"/>
      <c r="M68" s="282"/>
      <c r="N68" s="969"/>
      <c r="O68" s="969"/>
      <c r="P68" s="98"/>
      <c r="Q68" s="99"/>
      <c r="R68" s="950"/>
      <c r="S68" s="950"/>
      <c r="T68" s="950"/>
      <c r="U68" s="950"/>
      <c r="V68" s="44"/>
      <c r="W68" s="44"/>
      <c r="X68" s="951"/>
      <c r="Y68" s="951"/>
      <c r="Z68" s="98"/>
      <c r="AA68" s="99"/>
      <c r="AB68" s="950"/>
      <c r="AC68" s="950"/>
      <c r="AD68" s="950"/>
      <c r="AE68" s="950"/>
      <c r="AI68" s="41">
        <v>4031.4285714285716</v>
      </c>
      <c r="AJ68" s="41" t="s">
        <v>2828</v>
      </c>
      <c r="AK68" s="41">
        <v>4.12</v>
      </c>
      <c r="AL68" s="41" t="s">
        <v>2830</v>
      </c>
      <c r="AM68" s="41">
        <v>1000</v>
      </c>
      <c r="AN68" s="41" t="s">
        <v>2829</v>
      </c>
      <c r="AO68" s="423">
        <v>16.609485714285714</v>
      </c>
      <c r="AP68" s="423"/>
      <c r="AQ68" s="423"/>
      <c r="AR68" s="423"/>
      <c r="AS68" s="423"/>
      <c r="AV68" s="410"/>
      <c r="AW68" s="412"/>
      <c r="AX68"/>
      <c r="AY68"/>
    </row>
    <row r="69" spans="1:51" s="41" customFormat="1" ht="14.4" hidden="1">
      <c r="A69" s="244"/>
      <c r="B69" s="245"/>
      <c r="C69" s="951"/>
      <c r="D69" s="951"/>
      <c r="E69" s="967"/>
      <c r="F69" s="967"/>
      <c r="G69" s="967"/>
      <c r="H69" s="968"/>
      <c r="I69" s="968"/>
      <c r="J69" s="968"/>
      <c r="K69" s="92"/>
      <c r="L69" s="44"/>
      <c r="M69" s="282"/>
      <c r="N69" s="969"/>
      <c r="O69" s="969"/>
      <c r="P69" s="98"/>
      <c r="Q69" s="99"/>
      <c r="R69" s="950"/>
      <c r="S69" s="950"/>
      <c r="T69" s="950"/>
      <c r="U69" s="950"/>
      <c r="V69" s="44"/>
      <c r="W69" s="44"/>
      <c r="X69" s="951"/>
      <c r="Y69" s="951"/>
      <c r="Z69" s="98"/>
      <c r="AA69" s="99"/>
      <c r="AB69" s="950"/>
      <c r="AC69" s="950"/>
      <c r="AD69" s="950"/>
      <c r="AE69" s="950"/>
      <c r="AI69" s="41">
        <v>4031.4285714285716</v>
      </c>
      <c r="AJ69" s="41" t="s">
        <v>2828</v>
      </c>
      <c r="AK69" s="41">
        <v>4.12</v>
      </c>
      <c r="AL69" s="41" t="s">
        <v>2830</v>
      </c>
      <c r="AM69" s="41">
        <v>1000</v>
      </c>
      <c r="AN69" s="41" t="s">
        <v>2829</v>
      </c>
      <c r="AO69" s="423">
        <v>16.609485714285714</v>
      </c>
      <c r="AP69" s="423"/>
      <c r="AQ69" s="423"/>
      <c r="AR69" s="423"/>
      <c r="AS69" s="423"/>
      <c r="AV69" s="410"/>
      <c r="AW69" s="412"/>
      <c r="AX69"/>
      <c r="AY69"/>
    </row>
    <row r="70" spans="1:51" s="41" customFormat="1" ht="14.4" hidden="1">
      <c r="A70" s="244"/>
      <c r="B70" s="245"/>
      <c r="C70" s="951"/>
      <c r="D70" s="951"/>
      <c r="E70" s="967"/>
      <c r="F70" s="967"/>
      <c r="G70" s="967"/>
      <c r="H70" s="968"/>
      <c r="I70" s="968"/>
      <c r="J70" s="968"/>
      <c r="K70" s="92"/>
      <c r="L70" s="44"/>
      <c r="M70" s="282"/>
      <c r="N70" s="969"/>
      <c r="O70" s="969"/>
      <c r="P70" s="98"/>
      <c r="Q70" s="99"/>
      <c r="R70" s="950"/>
      <c r="S70" s="950"/>
      <c r="T70" s="950"/>
      <c r="U70" s="950"/>
      <c r="V70" s="44"/>
      <c r="W70" s="44"/>
      <c r="X70" s="951"/>
      <c r="Y70" s="951"/>
      <c r="Z70" s="98"/>
      <c r="AA70" s="99"/>
      <c r="AB70" s="950"/>
      <c r="AC70" s="950"/>
      <c r="AD70" s="950"/>
      <c r="AE70" s="950"/>
      <c r="AI70" s="41">
        <v>4031.4285714285716</v>
      </c>
      <c r="AJ70" s="41" t="s">
        <v>2828</v>
      </c>
      <c r="AK70" s="41">
        <v>4.12</v>
      </c>
      <c r="AL70" s="41" t="s">
        <v>2830</v>
      </c>
      <c r="AM70" s="41">
        <v>1000</v>
      </c>
      <c r="AN70" s="41" t="s">
        <v>2829</v>
      </c>
      <c r="AO70" s="423">
        <v>16.609485714285714</v>
      </c>
      <c r="AP70" s="423"/>
      <c r="AQ70" s="423"/>
      <c r="AR70" s="423"/>
      <c r="AS70" s="423"/>
      <c r="AV70" s="410"/>
      <c r="AW70" s="412"/>
      <c r="AX70"/>
      <c r="AY70"/>
    </row>
    <row r="71" spans="1:51" s="41" customFormat="1" ht="14.4" hidden="1">
      <c r="A71" s="244"/>
      <c r="B71" s="245"/>
      <c r="C71" s="951"/>
      <c r="D71" s="951"/>
      <c r="E71" s="967"/>
      <c r="F71" s="967"/>
      <c r="G71" s="967"/>
      <c r="H71" s="968"/>
      <c r="I71" s="968"/>
      <c r="J71" s="968"/>
      <c r="K71" s="92"/>
      <c r="L71" s="44"/>
      <c r="M71" s="282"/>
      <c r="N71" s="969"/>
      <c r="O71" s="969"/>
      <c r="P71" s="98"/>
      <c r="Q71" s="99"/>
      <c r="R71" s="950"/>
      <c r="S71" s="950"/>
      <c r="T71" s="950"/>
      <c r="U71" s="950"/>
      <c r="V71" s="44"/>
      <c r="W71" s="44"/>
      <c r="X71" s="951"/>
      <c r="Y71" s="951"/>
      <c r="Z71" s="98"/>
      <c r="AA71" s="99"/>
      <c r="AB71" s="950"/>
      <c r="AC71" s="950"/>
      <c r="AD71" s="950"/>
      <c r="AE71" s="950"/>
      <c r="AI71" s="41">
        <v>4031.4285714285716</v>
      </c>
      <c r="AJ71" s="41" t="s">
        <v>2828</v>
      </c>
      <c r="AK71" s="41">
        <v>4.12</v>
      </c>
      <c r="AL71" s="41" t="s">
        <v>2830</v>
      </c>
      <c r="AM71" s="41">
        <v>1000</v>
      </c>
      <c r="AN71" s="41" t="s">
        <v>2829</v>
      </c>
      <c r="AO71" s="423">
        <v>16.609485714285714</v>
      </c>
      <c r="AP71" s="423"/>
      <c r="AQ71" s="423"/>
      <c r="AR71" s="423"/>
      <c r="AS71" s="423"/>
      <c r="AV71" s="410"/>
      <c r="AW71" s="412"/>
      <c r="AX71"/>
      <c r="AY71"/>
    </row>
    <row r="72" spans="1:51" s="41" customFormat="1" ht="14.4" hidden="1">
      <c r="A72" s="244"/>
      <c r="B72" s="245"/>
      <c r="C72" s="951"/>
      <c r="D72" s="951"/>
      <c r="E72" s="967"/>
      <c r="F72" s="967"/>
      <c r="G72" s="967"/>
      <c r="H72" s="968"/>
      <c r="I72" s="968"/>
      <c r="J72" s="968"/>
      <c r="K72" s="92"/>
      <c r="L72" s="44"/>
      <c r="M72" s="282"/>
      <c r="N72" s="969"/>
      <c r="O72" s="969"/>
      <c r="P72" s="98"/>
      <c r="Q72" s="99"/>
      <c r="R72" s="950"/>
      <c r="S72" s="950"/>
      <c r="T72" s="950"/>
      <c r="U72" s="950"/>
      <c r="V72" s="44"/>
      <c r="W72" s="44"/>
      <c r="X72" s="951"/>
      <c r="Y72" s="951"/>
      <c r="Z72" s="98"/>
      <c r="AA72" s="99"/>
      <c r="AB72" s="950"/>
      <c r="AC72" s="950"/>
      <c r="AD72" s="950"/>
      <c r="AE72" s="950"/>
      <c r="AI72" s="41">
        <v>4031.4285714285716</v>
      </c>
      <c r="AJ72" s="41" t="s">
        <v>2828</v>
      </c>
      <c r="AK72" s="41">
        <v>4.12</v>
      </c>
      <c r="AL72" s="41" t="s">
        <v>2830</v>
      </c>
      <c r="AM72" s="41">
        <v>1000</v>
      </c>
      <c r="AN72" s="41" t="s">
        <v>2829</v>
      </c>
      <c r="AO72" s="423">
        <v>16.609485714285714</v>
      </c>
      <c r="AP72" s="423"/>
      <c r="AQ72" s="423"/>
      <c r="AR72" s="423"/>
      <c r="AS72" s="423"/>
      <c r="AV72" s="410"/>
      <c r="AW72" s="412"/>
      <c r="AX72"/>
      <c r="AY72"/>
    </row>
    <row r="73" spans="1:51" s="41" customFormat="1" ht="14.4" hidden="1">
      <c r="A73" s="244"/>
      <c r="B73" s="245"/>
      <c r="C73" s="951"/>
      <c r="D73" s="951"/>
      <c r="E73" s="967"/>
      <c r="F73" s="967"/>
      <c r="G73" s="967"/>
      <c r="H73" s="968"/>
      <c r="I73" s="968"/>
      <c r="J73" s="968"/>
      <c r="K73" s="92"/>
      <c r="L73" s="44"/>
      <c r="M73" s="282"/>
      <c r="N73" s="969"/>
      <c r="O73" s="969"/>
      <c r="P73" s="98"/>
      <c r="Q73" s="99"/>
      <c r="R73" s="950"/>
      <c r="S73" s="950"/>
      <c r="T73" s="950"/>
      <c r="U73" s="950"/>
      <c r="V73" s="44"/>
      <c r="W73" s="44"/>
      <c r="X73" s="951"/>
      <c r="Y73" s="951"/>
      <c r="Z73" s="98"/>
      <c r="AA73" s="99"/>
      <c r="AB73" s="950"/>
      <c r="AC73" s="950"/>
      <c r="AD73" s="950"/>
      <c r="AE73" s="950"/>
      <c r="AI73" s="41">
        <v>4031.4285714285716</v>
      </c>
      <c r="AJ73" s="41" t="s">
        <v>2828</v>
      </c>
      <c r="AK73" s="41">
        <v>4.12</v>
      </c>
      <c r="AL73" s="41" t="s">
        <v>2830</v>
      </c>
      <c r="AM73" s="41">
        <v>1000</v>
      </c>
      <c r="AN73" s="41" t="s">
        <v>2829</v>
      </c>
      <c r="AO73" s="423">
        <v>16.609485714285714</v>
      </c>
      <c r="AP73" s="423"/>
      <c r="AQ73" s="423"/>
      <c r="AR73" s="423"/>
      <c r="AS73" s="423"/>
      <c r="AV73" s="410"/>
      <c r="AW73" s="412"/>
      <c r="AX73"/>
      <c r="AY73"/>
    </row>
    <row r="74" spans="1:51" s="41" customFormat="1" ht="14.4" hidden="1">
      <c r="A74" s="244"/>
      <c r="B74" s="245"/>
      <c r="C74" s="951"/>
      <c r="D74" s="951"/>
      <c r="E74" s="967"/>
      <c r="F74" s="967"/>
      <c r="G74" s="967"/>
      <c r="H74" s="968"/>
      <c r="I74" s="968"/>
      <c r="J74" s="968"/>
      <c r="K74" s="92"/>
      <c r="L74" s="44"/>
      <c r="M74" s="282"/>
      <c r="N74" s="969"/>
      <c r="O74" s="969"/>
      <c r="P74" s="98"/>
      <c r="Q74" s="99"/>
      <c r="R74" s="950"/>
      <c r="S74" s="950"/>
      <c r="T74" s="950"/>
      <c r="U74" s="950"/>
      <c r="V74" s="44"/>
      <c r="W74" s="44"/>
      <c r="X74" s="951"/>
      <c r="Y74" s="951"/>
      <c r="Z74" s="98"/>
      <c r="AA74" s="99"/>
      <c r="AB74" s="950"/>
      <c r="AC74" s="950"/>
      <c r="AD74" s="950"/>
      <c r="AE74" s="950"/>
      <c r="AI74" s="41">
        <v>4031.4285714285716</v>
      </c>
      <c r="AJ74" s="41" t="s">
        <v>2828</v>
      </c>
      <c r="AK74" s="41">
        <v>4.12</v>
      </c>
      <c r="AL74" s="41" t="s">
        <v>2830</v>
      </c>
      <c r="AM74" s="41">
        <v>1000</v>
      </c>
      <c r="AN74" s="41" t="s">
        <v>2829</v>
      </c>
      <c r="AO74" s="423">
        <v>16.609485714285714</v>
      </c>
      <c r="AP74" s="423"/>
      <c r="AQ74" s="423"/>
      <c r="AR74" s="423"/>
      <c r="AS74" s="423"/>
      <c r="AV74" s="410"/>
      <c r="AW74" s="412"/>
      <c r="AX74"/>
      <c r="AY74"/>
    </row>
    <row r="75" spans="1:51" s="41" customFormat="1" ht="14.4" hidden="1">
      <c r="A75" s="244"/>
      <c r="B75" s="245"/>
      <c r="C75" s="951"/>
      <c r="D75" s="951"/>
      <c r="E75" s="967"/>
      <c r="F75" s="967"/>
      <c r="G75" s="967"/>
      <c r="H75" s="968"/>
      <c r="I75" s="968"/>
      <c r="J75" s="968"/>
      <c r="K75" s="92"/>
      <c r="L75" s="44"/>
      <c r="M75" s="282"/>
      <c r="N75" s="969"/>
      <c r="O75" s="969"/>
      <c r="P75" s="98"/>
      <c r="Q75" s="99"/>
      <c r="R75" s="950"/>
      <c r="S75" s="950"/>
      <c r="T75" s="950"/>
      <c r="U75" s="950"/>
      <c r="V75" s="44"/>
      <c r="W75" s="44"/>
      <c r="X75" s="951"/>
      <c r="Y75" s="951"/>
      <c r="Z75" s="98"/>
      <c r="AA75" s="99"/>
      <c r="AB75" s="950"/>
      <c r="AC75" s="950"/>
      <c r="AD75" s="950"/>
      <c r="AE75" s="950"/>
      <c r="AI75" s="41">
        <v>4031.4285714285716</v>
      </c>
      <c r="AJ75" s="41" t="s">
        <v>2828</v>
      </c>
      <c r="AK75" s="41">
        <v>4.12</v>
      </c>
      <c r="AL75" s="41" t="s">
        <v>2830</v>
      </c>
      <c r="AM75" s="41">
        <v>1000</v>
      </c>
      <c r="AN75" s="41" t="s">
        <v>2829</v>
      </c>
      <c r="AO75" s="423">
        <v>16.609485714285714</v>
      </c>
      <c r="AP75" s="423"/>
      <c r="AQ75" s="423"/>
      <c r="AR75" s="423"/>
      <c r="AS75" s="423"/>
      <c r="AV75" s="410"/>
      <c r="AW75" s="412"/>
      <c r="AX75"/>
      <c r="AY75"/>
    </row>
    <row r="76" spans="1:51" s="41" customFormat="1" ht="14.4" hidden="1">
      <c r="A76" s="244"/>
      <c r="B76" s="245"/>
      <c r="C76" s="951"/>
      <c r="D76" s="951"/>
      <c r="E76" s="967"/>
      <c r="F76" s="967"/>
      <c r="G76" s="967"/>
      <c r="H76" s="968"/>
      <c r="I76" s="968"/>
      <c r="J76" s="968"/>
      <c r="K76" s="92"/>
      <c r="L76" s="44"/>
      <c r="M76" s="282"/>
      <c r="N76" s="969"/>
      <c r="O76" s="969"/>
      <c r="P76" s="98"/>
      <c r="Q76" s="99"/>
      <c r="R76" s="950"/>
      <c r="S76" s="950"/>
      <c r="T76" s="950"/>
      <c r="U76" s="950"/>
      <c r="V76" s="44"/>
      <c r="W76" s="44"/>
      <c r="X76" s="951"/>
      <c r="Y76" s="951"/>
      <c r="Z76" s="98"/>
      <c r="AA76" s="99"/>
      <c r="AB76" s="950"/>
      <c r="AC76" s="950"/>
      <c r="AD76" s="950"/>
      <c r="AE76" s="950"/>
      <c r="AI76" s="41">
        <v>4031.4285714285716</v>
      </c>
      <c r="AJ76" s="41" t="s">
        <v>2828</v>
      </c>
      <c r="AK76" s="41">
        <v>4.12</v>
      </c>
      <c r="AL76" s="41" t="s">
        <v>2830</v>
      </c>
      <c r="AM76" s="41">
        <v>1000</v>
      </c>
      <c r="AN76" s="41" t="s">
        <v>2829</v>
      </c>
      <c r="AO76" s="423">
        <v>16.609485714285714</v>
      </c>
      <c r="AP76" s="423"/>
      <c r="AQ76" s="423"/>
      <c r="AR76" s="423"/>
      <c r="AS76" s="423"/>
      <c r="AV76" s="410"/>
      <c r="AW76" s="412"/>
      <c r="AX76"/>
      <c r="AY76"/>
    </row>
    <row r="77" spans="1:51" s="41" customFormat="1" ht="14.4" hidden="1">
      <c r="A77" s="244"/>
      <c r="B77" s="245"/>
      <c r="C77" s="951"/>
      <c r="D77" s="951"/>
      <c r="E77" s="967"/>
      <c r="F77" s="967"/>
      <c r="G77" s="967"/>
      <c r="H77" s="968"/>
      <c r="I77" s="968"/>
      <c r="J77" s="968"/>
      <c r="K77" s="92"/>
      <c r="L77" s="44"/>
      <c r="M77" s="282"/>
      <c r="N77" s="969"/>
      <c r="O77" s="969"/>
      <c r="P77" s="98"/>
      <c r="Q77" s="99"/>
      <c r="R77" s="950"/>
      <c r="S77" s="950"/>
      <c r="T77" s="950"/>
      <c r="U77" s="950"/>
      <c r="V77" s="44"/>
      <c r="W77" s="44"/>
      <c r="X77" s="951"/>
      <c r="Y77" s="951"/>
      <c r="Z77" s="98"/>
      <c r="AA77" s="99"/>
      <c r="AB77" s="950"/>
      <c r="AC77" s="950"/>
      <c r="AD77" s="950"/>
      <c r="AE77" s="950"/>
      <c r="AI77" s="41">
        <v>4031.4285714285716</v>
      </c>
      <c r="AJ77" s="41" t="s">
        <v>2828</v>
      </c>
      <c r="AK77" s="41">
        <v>4.12</v>
      </c>
      <c r="AL77" s="41" t="s">
        <v>2830</v>
      </c>
      <c r="AM77" s="41">
        <v>1000</v>
      </c>
      <c r="AN77" s="41" t="s">
        <v>2829</v>
      </c>
      <c r="AO77" s="423">
        <v>16.609485714285714</v>
      </c>
      <c r="AP77" s="423"/>
      <c r="AQ77" s="423"/>
      <c r="AR77" s="423"/>
      <c r="AS77" s="423"/>
      <c r="AV77" s="410"/>
      <c r="AW77" s="412"/>
      <c r="AX77"/>
      <c r="AY77"/>
    </row>
    <row r="78" spans="1:51" s="41" customFormat="1" ht="14.4" hidden="1">
      <c r="A78" s="244"/>
      <c r="B78" s="245"/>
      <c r="C78" s="951"/>
      <c r="D78" s="951"/>
      <c r="E78" s="967"/>
      <c r="F78" s="967"/>
      <c r="G78" s="967"/>
      <c r="H78" s="968"/>
      <c r="I78" s="968"/>
      <c r="J78" s="968"/>
      <c r="K78" s="92"/>
      <c r="L78" s="44"/>
      <c r="M78" s="282"/>
      <c r="N78" s="969"/>
      <c r="O78" s="969"/>
      <c r="P78" s="98"/>
      <c r="Q78" s="99"/>
      <c r="R78" s="950"/>
      <c r="S78" s="950"/>
      <c r="T78" s="950"/>
      <c r="U78" s="950"/>
      <c r="V78" s="44"/>
      <c r="W78" s="44"/>
      <c r="X78" s="951"/>
      <c r="Y78" s="951"/>
      <c r="Z78" s="98"/>
      <c r="AA78" s="99"/>
      <c r="AB78" s="950"/>
      <c r="AC78" s="950"/>
      <c r="AD78" s="950"/>
      <c r="AE78" s="950"/>
      <c r="AI78" s="41">
        <v>4031.4285714285716</v>
      </c>
      <c r="AJ78" s="41" t="s">
        <v>2828</v>
      </c>
      <c r="AK78" s="41">
        <v>4.12</v>
      </c>
      <c r="AL78" s="41" t="s">
        <v>2830</v>
      </c>
      <c r="AM78" s="41">
        <v>1000</v>
      </c>
      <c r="AN78" s="41" t="s">
        <v>2829</v>
      </c>
      <c r="AO78" s="423">
        <v>16.609485714285714</v>
      </c>
      <c r="AP78" s="423"/>
      <c r="AQ78" s="423"/>
      <c r="AR78" s="423"/>
      <c r="AS78" s="423"/>
      <c r="AV78" s="410"/>
      <c r="AW78" s="412"/>
      <c r="AX78"/>
      <c r="AY78"/>
    </row>
    <row r="79" spans="1:51" s="41" customFormat="1" ht="14.4" hidden="1">
      <c r="A79" s="244"/>
      <c r="B79" s="245"/>
      <c r="C79" s="951"/>
      <c r="D79" s="951"/>
      <c r="E79" s="967"/>
      <c r="F79" s="967"/>
      <c r="G79" s="967"/>
      <c r="H79" s="968"/>
      <c r="I79" s="968"/>
      <c r="J79" s="968"/>
      <c r="K79" s="92"/>
      <c r="L79" s="44"/>
      <c r="M79" s="282"/>
      <c r="N79" s="969"/>
      <c r="O79" s="969"/>
      <c r="P79" s="98"/>
      <c r="Q79" s="99"/>
      <c r="R79" s="950"/>
      <c r="S79" s="950"/>
      <c r="T79" s="950"/>
      <c r="U79" s="950"/>
      <c r="V79" s="44"/>
      <c r="W79" s="44"/>
      <c r="X79" s="951"/>
      <c r="Y79" s="951"/>
      <c r="Z79" s="98"/>
      <c r="AA79" s="99"/>
      <c r="AB79" s="950"/>
      <c r="AC79" s="950"/>
      <c r="AD79" s="950"/>
      <c r="AE79" s="950"/>
      <c r="AI79" s="41">
        <v>4031.4285714285716</v>
      </c>
      <c r="AJ79" s="41" t="s">
        <v>2828</v>
      </c>
      <c r="AK79" s="41">
        <v>4.12</v>
      </c>
      <c r="AL79" s="41" t="s">
        <v>2830</v>
      </c>
      <c r="AM79" s="41">
        <v>1000</v>
      </c>
      <c r="AN79" s="41" t="s">
        <v>2829</v>
      </c>
      <c r="AO79" s="423">
        <v>16.609485714285714</v>
      </c>
      <c r="AP79" s="423"/>
      <c r="AQ79" s="423"/>
      <c r="AR79" s="423"/>
      <c r="AS79" s="423"/>
      <c r="AV79" s="410"/>
      <c r="AW79" s="412"/>
      <c r="AX79"/>
      <c r="AY79"/>
    </row>
    <row r="80" spans="1:51" s="41" customFormat="1" ht="14.4" hidden="1">
      <c r="A80" s="244"/>
      <c r="B80" s="245"/>
      <c r="C80" s="951"/>
      <c r="D80" s="951"/>
      <c r="E80" s="967"/>
      <c r="F80" s="967"/>
      <c r="G80" s="967"/>
      <c r="H80" s="968"/>
      <c r="I80" s="968"/>
      <c r="J80" s="968"/>
      <c r="K80" s="92"/>
      <c r="L80" s="44"/>
      <c r="M80" s="282"/>
      <c r="N80" s="969"/>
      <c r="O80" s="969"/>
      <c r="P80" s="98"/>
      <c r="Q80" s="99"/>
      <c r="R80" s="950"/>
      <c r="S80" s="950"/>
      <c r="T80" s="950"/>
      <c r="U80" s="950"/>
      <c r="V80" s="44"/>
      <c r="W80" s="44"/>
      <c r="X80" s="951"/>
      <c r="Y80" s="951"/>
      <c r="Z80" s="98"/>
      <c r="AA80" s="99"/>
      <c r="AB80" s="950"/>
      <c r="AC80" s="950"/>
      <c r="AD80" s="950"/>
      <c r="AE80" s="950"/>
      <c r="AI80" s="41">
        <v>4031.4285714285716</v>
      </c>
      <c r="AJ80" s="41" t="s">
        <v>2828</v>
      </c>
      <c r="AK80" s="41">
        <v>4.12</v>
      </c>
      <c r="AL80" s="41" t="s">
        <v>2830</v>
      </c>
      <c r="AM80" s="41">
        <v>1000</v>
      </c>
      <c r="AN80" s="41" t="s">
        <v>2829</v>
      </c>
      <c r="AO80" s="423">
        <v>16.609485714285714</v>
      </c>
      <c r="AP80" s="423"/>
      <c r="AQ80" s="423"/>
      <c r="AR80" s="423"/>
      <c r="AS80" s="423"/>
      <c r="AV80" s="410"/>
      <c r="AW80" s="412"/>
      <c r="AX80"/>
      <c r="AY80"/>
    </row>
    <row r="81" spans="1:51" s="41" customFormat="1" ht="14.4" hidden="1">
      <c r="A81" s="244"/>
      <c r="B81" s="245"/>
      <c r="C81" s="951"/>
      <c r="D81" s="951"/>
      <c r="E81" s="967"/>
      <c r="F81" s="967"/>
      <c r="G81" s="967"/>
      <c r="H81" s="968"/>
      <c r="I81" s="968"/>
      <c r="J81" s="968"/>
      <c r="K81" s="92"/>
      <c r="L81" s="44"/>
      <c r="M81" s="282"/>
      <c r="N81" s="969"/>
      <c r="O81" s="969"/>
      <c r="P81" s="98"/>
      <c r="Q81" s="99"/>
      <c r="R81" s="950"/>
      <c r="S81" s="950"/>
      <c r="T81" s="950"/>
      <c r="U81" s="950"/>
      <c r="V81" s="44"/>
      <c r="W81" s="44"/>
      <c r="X81" s="951"/>
      <c r="Y81" s="951"/>
      <c r="Z81" s="98"/>
      <c r="AA81" s="99"/>
      <c r="AB81" s="950"/>
      <c r="AC81" s="950"/>
      <c r="AD81" s="950"/>
      <c r="AE81" s="950"/>
      <c r="AI81" s="41">
        <v>4031.4285714285716</v>
      </c>
      <c r="AJ81" s="41" t="s">
        <v>2828</v>
      </c>
      <c r="AK81" s="41">
        <v>4.12</v>
      </c>
      <c r="AL81" s="41" t="s">
        <v>2830</v>
      </c>
      <c r="AM81" s="41">
        <v>1000</v>
      </c>
      <c r="AN81" s="41" t="s">
        <v>2829</v>
      </c>
      <c r="AO81" s="423">
        <v>16.609485714285714</v>
      </c>
      <c r="AP81" s="423"/>
      <c r="AQ81" s="423"/>
      <c r="AR81" s="423"/>
      <c r="AS81" s="423"/>
      <c r="AV81" s="410"/>
      <c r="AW81" s="412"/>
      <c r="AX81"/>
      <c r="AY81"/>
    </row>
    <row r="82" spans="1:51" s="41" customFormat="1" ht="14.4" hidden="1">
      <c r="A82" s="244"/>
      <c r="B82" s="245"/>
      <c r="C82" s="951"/>
      <c r="D82" s="951"/>
      <c r="E82" s="967"/>
      <c r="F82" s="967"/>
      <c r="G82" s="967"/>
      <c r="H82" s="968"/>
      <c r="I82" s="968"/>
      <c r="J82" s="968"/>
      <c r="K82" s="92"/>
      <c r="L82" s="44"/>
      <c r="M82" s="282"/>
      <c r="N82" s="969"/>
      <c r="O82" s="969"/>
      <c r="P82" s="98"/>
      <c r="Q82" s="99"/>
      <c r="R82" s="950"/>
      <c r="S82" s="950"/>
      <c r="T82" s="950"/>
      <c r="U82" s="950"/>
      <c r="V82" s="44"/>
      <c r="W82" s="44"/>
      <c r="X82" s="951"/>
      <c r="Y82" s="951"/>
      <c r="Z82" s="98"/>
      <c r="AA82" s="99"/>
      <c r="AB82" s="950"/>
      <c r="AC82" s="950"/>
      <c r="AD82" s="950"/>
      <c r="AE82" s="950"/>
      <c r="AI82" s="41">
        <v>4031.4285714285716</v>
      </c>
      <c r="AJ82" s="41" t="s">
        <v>2828</v>
      </c>
      <c r="AK82" s="41">
        <v>4.12</v>
      </c>
      <c r="AL82" s="41" t="s">
        <v>2830</v>
      </c>
      <c r="AM82" s="41">
        <v>1000</v>
      </c>
      <c r="AN82" s="41" t="s">
        <v>2829</v>
      </c>
      <c r="AO82" s="423">
        <v>16.609485714285714</v>
      </c>
      <c r="AP82" s="423"/>
      <c r="AQ82" s="423"/>
      <c r="AR82" s="423"/>
      <c r="AS82" s="423"/>
      <c r="AV82" s="410"/>
      <c r="AW82" s="412"/>
      <c r="AX82"/>
      <c r="AY82"/>
    </row>
    <row r="83" spans="1:51" s="41" customFormat="1" ht="14.4" hidden="1">
      <c r="A83" s="244"/>
      <c r="B83" s="245"/>
      <c r="C83" s="951"/>
      <c r="D83" s="951"/>
      <c r="E83" s="967"/>
      <c r="F83" s="967"/>
      <c r="G83" s="967"/>
      <c r="H83" s="968"/>
      <c r="I83" s="968"/>
      <c r="J83" s="968"/>
      <c r="K83" s="92"/>
      <c r="L83" s="44"/>
      <c r="M83" s="282"/>
      <c r="N83" s="969"/>
      <c r="O83" s="969"/>
      <c r="P83" s="98"/>
      <c r="Q83" s="99"/>
      <c r="R83" s="950"/>
      <c r="S83" s="950"/>
      <c r="T83" s="950"/>
      <c r="U83" s="950"/>
      <c r="V83" s="44"/>
      <c r="W83" s="44"/>
      <c r="X83" s="951"/>
      <c r="Y83" s="951"/>
      <c r="Z83" s="98"/>
      <c r="AA83" s="99"/>
      <c r="AB83" s="950"/>
      <c r="AC83" s="950"/>
      <c r="AD83" s="950"/>
      <c r="AE83" s="950"/>
      <c r="AI83" s="41">
        <v>4031.4285714285716</v>
      </c>
      <c r="AJ83" s="41" t="s">
        <v>2828</v>
      </c>
      <c r="AK83" s="41">
        <v>4.12</v>
      </c>
      <c r="AL83" s="41" t="s">
        <v>2830</v>
      </c>
      <c r="AM83" s="41">
        <v>1000</v>
      </c>
      <c r="AN83" s="41" t="s">
        <v>2829</v>
      </c>
      <c r="AO83" s="423">
        <v>16.609485714285714</v>
      </c>
      <c r="AP83" s="423"/>
      <c r="AQ83" s="423"/>
      <c r="AR83" s="423"/>
      <c r="AS83" s="423"/>
      <c r="AV83" s="410"/>
      <c r="AW83" s="412"/>
      <c r="AX83"/>
      <c r="AY83"/>
    </row>
    <row r="84" spans="1:51" s="41" customFormat="1" ht="14.4" hidden="1">
      <c r="A84" s="244"/>
      <c r="B84" s="245"/>
      <c r="C84" s="951"/>
      <c r="D84" s="951"/>
      <c r="E84" s="967"/>
      <c r="F84" s="967"/>
      <c r="G84" s="967"/>
      <c r="H84" s="968"/>
      <c r="I84" s="968"/>
      <c r="J84" s="968"/>
      <c r="K84" s="92"/>
      <c r="L84" s="44"/>
      <c r="M84" s="282"/>
      <c r="N84" s="969"/>
      <c r="O84" s="969"/>
      <c r="P84" s="98"/>
      <c r="Q84" s="99"/>
      <c r="R84" s="950"/>
      <c r="S84" s="950"/>
      <c r="T84" s="950"/>
      <c r="U84" s="950"/>
      <c r="V84" s="44"/>
      <c r="W84" s="44"/>
      <c r="X84" s="951"/>
      <c r="Y84" s="951"/>
      <c r="Z84" s="98"/>
      <c r="AA84" s="99"/>
      <c r="AB84" s="950"/>
      <c r="AC84" s="950"/>
      <c r="AD84" s="950"/>
      <c r="AE84" s="950"/>
      <c r="AI84" s="41">
        <v>4031.4285714285716</v>
      </c>
      <c r="AJ84" s="41" t="s">
        <v>2828</v>
      </c>
      <c r="AK84" s="41">
        <v>4.12</v>
      </c>
      <c r="AL84" s="41" t="s">
        <v>2830</v>
      </c>
      <c r="AM84" s="41">
        <v>1000</v>
      </c>
      <c r="AN84" s="41" t="s">
        <v>2829</v>
      </c>
      <c r="AO84" s="423">
        <v>16.609485714285714</v>
      </c>
      <c r="AP84" s="423"/>
      <c r="AQ84" s="423"/>
      <c r="AR84" s="423"/>
      <c r="AS84" s="423"/>
      <c r="AV84" s="410"/>
      <c r="AW84" s="412"/>
      <c r="AX84"/>
      <c r="AY84"/>
    </row>
    <row r="85" spans="1:51" s="41" customFormat="1" ht="14.4" hidden="1">
      <c r="A85" s="244"/>
      <c r="B85" s="245"/>
      <c r="C85" s="951"/>
      <c r="D85" s="951"/>
      <c r="E85" s="967"/>
      <c r="F85" s="967"/>
      <c r="G85" s="967"/>
      <c r="H85" s="968"/>
      <c r="I85" s="968"/>
      <c r="J85" s="968"/>
      <c r="K85" s="92"/>
      <c r="L85" s="44"/>
      <c r="M85" s="282"/>
      <c r="N85" s="969"/>
      <c r="O85" s="969"/>
      <c r="P85" s="98"/>
      <c r="Q85" s="99"/>
      <c r="R85" s="950"/>
      <c r="S85" s="950"/>
      <c r="T85" s="950"/>
      <c r="U85" s="950"/>
      <c r="V85" s="44"/>
      <c r="W85" s="44"/>
      <c r="X85" s="951"/>
      <c r="Y85" s="951"/>
      <c r="Z85" s="98"/>
      <c r="AA85" s="99"/>
      <c r="AB85" s="950"/>
      <c r="AC85" s="950"/>
      <c r="AD85" s="950"/>
      <c r="AE85" s="950"/>
      <c r="AI85" s="41">
        <v>4031.4285714285716</v>
      </c>
      <c r="AJ85" s="41" t="s">
        <v>2828</v>
      </c>
      <c r="AK85" s="41">
        <v>4.12</v>
      </c>
      <c r="AL85" s="41" t="s">
        <v>2830</v>
      </c>
      <c r="AM85" s="41">
        <v>1000</v>
      </c>
      <c r="AN85" s="41" t="s">
        <v>2829</v>
      </c>
      <c r="AO85" s="423">
        <v>16.609485714285714</v>
      </c>
      <c r="AP85" s="423"/>
      <c r="AQ85" s="423"/>
      <c r="AR85" s="423"/>
      <c r="AS85" s="423"/>
      <c r="AV85" s="410"/>
      <c r="AW85" s="412"/>
      <c r="AX85"/>
      <c r="AY85"/>
    </row>
    <row r="86" spans="1:51" s="41" customFormat="1" ht="14.4" hidden="1">
      <c r="A86" s="244"/>
      <c r="B86" s="245"/>
      <c r="C86" s="951"/>
      <c r="D86" s="951"/>
      <c r="E86" s="967"/>
      <c r="F86" s="967"/>
      <c r="G86" s="967"/>
      <c r="H86" s="968"/>
      <c r="I86" s="968"/>
      <c r="J86" s="968"/>
      <c r="K86" s="92"/>
      <c r="L86" s="44"/>
      <c r="M86" s="282"/>
      <c r="N86" s="969"/>
      <c r="O86" s="969"/>
      <c r="P86" s="98"/>
      <c r="Q86" s="99"/>
      <c r="R86" s="950"/>
      <c r="S86" s="950"/>
      <c r="T86" s="950"/>
      <c r="U86" s="950"/>
      <c r="V86" s="44"/>
      <c r="W86" s="44"/>
      <c r="X86" s="951"/>
      <c r="Y86" s="951"/>
      <c r="Z86" s="98"/>
      <c r="AA86" s="99"/>
      <c r="AB86" s="950"/>
      <c r="AC86" s="950"/>
      <c r="AD86" s="950"/>
      <c r="AE86" s="950"/>
      <c r="AI86" s="41">
        <v>4031.4285714285716</v>
      </c>
      <c r="AJ86" s="41" t="s">
        <v>2828</v>
      </c>
      <c r="AK86" s="41">
        <v>4.12</v>
      </c>
      <c r="AL86" s="41" t="s">
        <v>2830</v>
      </c>
      <c r="AM86" s="41">
        <v>1000</v>
      </c>
      <c r="AN86" s="41" t="s">
        <v>2829</v>
      </c>
      <c r="AO86" s="423">
        <v>16.609485714285714</v>
      </c>
      <c r="AP86" s="423"/>
      <c r="AQ86" s="423"/>
      <c r="AR86" s="423"/>
      <c r="AS86" s="423"/>
      <c r="AV86" s="410"/>
      <c r="AW86" s="412"/>
      <c r="AX86"/>
      <c r="AY86"/>
    </row>
    <row r="87" spans="1:51" s="41" customFormat="1" ht="14.4" hidden="1">
      <c r="A87" s="244"/>
      <c r="B87" s="245"/>
      <c r="C87" s="951"/>
      <c r="D87" s="951"/>
      <c r="E87" s="967"/>
      <c r="F87" s="967"/>
      <c r="G87" s="967"/>
      <c r="H87" s="968"/>
      <c r="I87" s="968"/>
      <c r="J87" s="968"/>
      <c r="K87" s="92"/>
      <c r="L87" s="44"/>
      <c r="M87" s="282"/>
      <c r="N87" s="969"/>
      <c r="O87" s="969"/>
      <c r="P87" s="98"/>
      <c r="Q87" s="99"/>
      <c r="R87" s="950"/>
      <c r="S87" s="950"/>
      <c r="T87" s="950"/>
      <c r="U87" s="950"/>
      <c r="V87" s="44"/>
      <c r="W87" s="44"/>
      <c r="X87" s="951"/>
      <c r="Y87" s="951"/>
      <c r="Z87" s="98"/>
      <c r="AA87" s="99"/>
      <c r="AB87" s="950"/>
      <c r="AC87" s="950"/>
      <c r="AD87" s="950"/>
      <c r="AE87" s="950"/>
      <c r="AI87" s="41">
        <v>4031.4285714285716</v>
      </c>
      <c r="AJ87" s="41" t="s">
        <v>2828</v>
      </c>
      <c r="AK87" s="41">
        <v>4.12</v>
      </c>
      <c r="AL87" s="41" t="s">
        <v>2830</v>
      </c>
      <c r="AM87" s="41">
        <v>1000</v>
      </c>
      <c r="AN87" s="41" t="s">
        <v>2829</v>
      </c>
      <c r="AO87" s="423">
        <v>16.609485714285714</v>
      </c>
      <c r="AP87" s="423"/>
      <c r="AQ87" s="423"/>
      <c r="AR87" s="423"/>
      <c r="AS87" s="423"/>
      <c r="AV87" s="410"/>
      <c r="AW87" s="412"/>
      <c r="AX87"/>
      <c r="AY87"/>
    </row>
    <row r="88" spans="1:51" s="41" customFormat="1" ht="14.4" hidden="1">
      <c r="A88" s="244"/>
      <c r="B88" s="245"/>
      <c r="C88" s="951"/>
      <c r="D88" s="951"/>
      <c r="E88" s="967"/>
      <c r="F88" s="967"/>
      <c r="G88" s="967"/>
      <c r="H88" s="968"/>
      <c r="I88" s="968"/>
      <c r="J88" s="968"/>
      <c r="K88" s="92"/>
      <c r="L88" s="44"/>
      <c r="M88" s="282"/>
      <c r="N88" s="969"/>
      <c r="O88" s="969"/>
      <c r="P88" s="98"/>
      <c r="Q88" s="99"/>
      <c r="R88" s="950"/>
      <c r="S88" s="950"/>
      <c r="T88" s="950"/>
      <c r="U88" s="950"/>
      <c r="V88" s="44"/>
      <c r="W88" s="44"/>
      <c r="X88" s="951"/>
      <c r="Y88" s="951"/>
      <c r="Z88" s="98"/>
      <c r="AA88" s="99"/>
      <c r="AB88" s="950"/>
      <c r="AC88" s="950"/>
      <c r="AD88" s="950"/>
      <c r="AE88" s="950"/>
      <c r="AI88" s="41">
        <v>4031.4285714285716</v>
      </c>
      <c r="AJ88" s="41" t="s">
        <v>2828</v>
      </c>
      <c r="AK88" s="41">
        <v>4.12</v>
      </c>
      <c r="AL88" s="41" t="s">
        <v>2830</v>
      </c>
      <c r="AM88" s="41">
        <v>1000</v>
      </c>
      <c r="AN88" s="41" t="s">
        <v>2829</v>
      </c>
      <c r="AO88" s="423">
        <v>16.609485714285714</v>
      </c>
      <c r="AP88" s="423"/>
      <c r="AQ88" s="423"/>
      <c r="AR88" s="423"/>
      <c r="AS88" s="423"/>
      <c r="AV88" s="410"/>
      <c r="AW88" s="412"/>
      <c r="AX88"/>
      <c r="AY88"/>
    </row>
    <row r="89" spans="1:51" s="41" customFormat="1" ht="14.4" hidden="1">
      <c r="A89" s="244"/>
      <c r="B89" s="245"/>
      <c r="C89" s="951"/>
      <c r="D89" s="951"/>
      <c r="E89" s="967"/>
      <c r="F89" s="967"/>
      <c r="G89" s="967"/>
      <c r="H89" s="968"/>
      <c r="I89" s="968"/>
      <c r="J89" s="968"/>
      <c r="K89" s="92"/>
      <c r="L89" s="44"/>
      <c r="M89" s="282"/>
      <c r="N89" s="969"/>
      <c r="O89" s="969"/>
      <c r="P89" s="98"/>
      <c r="Q89" s="99"/>
      <c r="R89" s="950"/>
      <c r="S89" s="950"/>
      <c r="T89" s="950"/>
      <c r="U89" s="950"/>
      <c r="V89" s="44"/>
      <c r="W89" s="44"/>
      <c r="X89" s="951"/>
      <c r="Y89" s="951"/>
      <c r="Z89" s="98"/>
      <c r="AA89" s="99"/>
      <c r="AB89" s="950"/>
      <c r="AC89" s="950"/>
      <c r="AD89" s="950"/>
      <c r="AE89" s="950"/>
      <c r="AI89" s="41">
        <v>4031.4285714285716</v>
      </c>
      <c r="AJ89" s="41" t="s">
        <v>2828</v>
      </c>
      <c r="AK89" s="41">
        <v>4.12</v>
      </c>
      <c r="AL89" s="41" t="s">
        <v>2830</v>
      </c>
      <c r="AM89" s="41">
        <v>1000</v>
      </c>
      <c r="AN89" s="41" t="s">
        <v>2829</v>
      </c>
      <c r="AO89" s="423">
        <v>16.609485714285714</v>
      </c>
      <c r="AP89" s="423"/>
      <c r="AQ89" s="423"/>
      <c r="AR89" s="423"/>
      <c r="AS89" s="423"/>
      <c r="AV89" s="410"/>
      <c r="AW89" s="412"/>
      <c r="AX89"/>
      <c r="AY89"/>
    </row>
    <row r="90" spans="1:51" s="41" customFormat="1" ht="14.4" hidden="1">
      <c r="A90" s="244"/>
      <c r="B90" s="245"/>
      <c r="C90" s="951"/>
      <c r="D90" s="951"/>
      <c r="E90" s="967"/>
      <c r="F90" s="967"/>
      <c r="G90" s="967"/>
      <c r="H90" s="968"/>
      <c r="I90" s="968"/>
      <c r="J90" s="968"/>
      <c r="K90" s="92"/>
      <c r="L90" s="44"/>
      <c r="M90" s="282"/>
      <c r="N90" s="969"/>
      <c r="O90" s="969"/>
      <c r="P90" s="98"/>
      <c r="Q90" s="99"/>
      <c r="R90" s="950"/>
      <c r="S90" s="950"/>
      <c r="T90" s="950"/>
      <c r="U90" s="950"/>
      <c r="V90" s="44"/>
      <c r="W90" s="44"/>
      <c r="X90" s="951"/>
      <c r="Y90" s="951"/>
      <c r="Z90" s="98"/>
      <c r="AA90" s="99"/>
      <c r="AB90" s="950"/>
      <c r="AC90" s="950"/>
      <c r="AD90" s="950"/>
      <c r="AE90" s="950"/>
      <c r="AI90" s="41">
        <v>4031.4285714285716</v>
      </c>
      <c r="AJ90" s="41" t="s">
        <v>2828</v>
      </c>
      <c r="AK90" s="41">
        <v>4.12</v>
      </c>
      <c r="AL90" s="41" t="s">
        <v>2830</v>
      </c>
      <c r="AM90" s="41">
        <v>1000</v>
      </c>
      <c r="AN90" s="41" t="s">
        <v>2829</v>
      </c>
      <c r="AO90" s="423">
        <v>16.609485714285714</v>
      </c>
      <c r="AP90" s="423"/>
      <c r="AQ90" s="423"/>
      <c r="AR90" s="423"/>
      <c r="AS90" s="423"/>
      <c r="AV90" s="410"/>
      <c r="AW90" s="412"/>
      <c r="AX90"/>
      <c r="AY90"/>
    </row>
    <row r="91" spans="1:51" s="41" customFormat="1" ht="14.4" hidden="1">
      <c r="A91" s="244"/>
      <c r="B91" s="245"/>
      <c r="C91" s="951"/>
      <c r="D91" s="951"/>
      <c r="E91" s="967"/>
      <c r="F91" s="967"/>
      <c r="G91" s="967"/>
      <c r="H91" s="968"/>
      <c r="I91" s="968"/>
      <c r="J91" s="968"/>
      <c r="K91" s="92"/>
      <c r="L91" s="44"/>
      <c r="M91" s="282"/>
      <c r="N91" s="969"/>
      <c r="O91" s="969"/>
      <c r="P91" s="98"/>
      <c r="Q91" s="99"/>
      <c r="R91" s="950"/>
      <c r="S91" s="950"/>
      <c r="T91" s="950"/>
      <c r="U91" s="950"/>
      <c r="V91" s="44"/>
      <c r="W91" s="44"/>
      <c r="X91" s="951"/>
      <c r="Y91" s="951"/>
      <c r="Z91" s="98"/>
      <c r="AA91" s="99"/>
      <c r="AB91" s="950"/>
      <c r="AC91" s="950"/>
      <c r="AD91" s="950"/>
      <c r="AE91" s="950"/>
      <c r="AI91" s="41">
        <v>4031.4285714285716</v>
      </c>
      <c r="AJ91" s="41" t="s">
        <v>2828</v>
      </c>
      <c r="AK91" s="41">
        <v>4.12</v>
      </c>
      <c r="AL91" s="41" t="s">
        <v>2830</v>
      </c>
      <c r="AM91" s="41">
        <v>1000</v>
      </c>
      <c r="AN91" s="41" t="s">
        <v>2829</v>
      </c>
      <c r="AO91" s="423">
        <v>16.609485714285714</v>
      </c>
      <c r="AP91" s="423"/>
      <c r="AQ91" s="423"/>
      <c r="AR91" s="423"/>
      <c r="AS91" s="423"/>
      <c r="AV91" s="410"/>
      <c r="AW91" s="412"/>
      <c r="AX91"/>
      <c r="AY91"/>
    </row>
    <row r="92" spans="1:51" s="41" customFormat="1" ht="14.4" hidden="1">
      <c r="A92" s="244"/>
      <c r="B92" s="245"/>
      <c r="C92" s="951"/>
      <c r="D92" s="951"/>
      <c r="E92" s="967"/>
      <c r="F92" s="967"/>
      <c r="G92" s="967"/>
      <c r="H92" s="968"/>
      <c r="I92" s="968"/>
      <c r="J92" s="968"/>
      <c r="K92" s="92"/>
      <c r="L92" s="44"/>
      <c r="M92" s="282"/>
      <c r="N92" s="969"/>
      <c r="O92" s="969"/>
      <c r="P92" s="98"/>
      <c r="Q92" s="99"/>
      <c r="R92" s="950"/>
      <c r="S92" s="950"/>
      <c r="T92" s="950"/>
      <c r="U92" s="950"/>
      <c r="V92" s="44"/>
      <c r="W92" s="44"/>
      <c r="X92" s="951"/>
      <c r="Y92" s="951"/>
      <c r="Z92" s="98"/>
      <c r="AA92" s="99"/>
      <c r="AB92" s="950"/>
      <c r="AC92" s="950"/>
      <c r="AD92" s="950"/>
      <c r="AE92" s="950"/>
      <c r="AI92" s="41">
        <v>-10.199999999999999</v>
      </c>
      <c r="AJ92" s="41" t="s">
        <v>2828</v>
      </c>
      <c r="AK92" s="41">
        <v>4.12</v>
      </c>
      <c r="AL92" s="41" t="s">
        <v>2830</v>
      </c>
      <c r="AM92" s="41">
        <v>1000</v>
      </c>
      <c r="AN92" s="41" t="s">
        <v>2829</v>
      </c>
      <c r="AO92" s="423">
        <v>-4.2023999999999999E-2</v>
      </c>
      <c r="AP92" s="423"/>
      <c r="AQ92" s="423"/>
      <c r="AR92" s="423"/>
      <c r="AS92" s="423"/>
      <c r="AV92" s="410"/>
      <c r="AW92" s="412"/>
      <c r="AX92"/>
      <c r="AY92"/>
    </row>
    <row r="93" spans="1:51" s="41" customFormat="1" ht="12.75" hidden="1" customHeight="1">
      <c r="A93" s="244"/>
      <c r="B93" s="245"/>
      <c r="C93" s="951"/>
      <c r="D93" s="951"/>
      <c r="E93" s="967"/>
      <c r="F93" s="967"/>
      <c r="G93" s="967"/>
      <c r="H93" s="968"/>
      <c r="I93" s="968"/>
      <c r="J93" s="968"/>
      <c r="K93" s="92"/>
      <c r="L93" s="44"/>
      <c r="M93" s="282"/>
      <c r="N93" s="969"/>
      <c r="O93" s="969"/>
      <c r="P93" s="98"/>
      <c r="Q93" s="99"/>
      <c r="R93" s="950"/>
      <c r="S93" s="950"/>
      <c r="T93" s="950"/>
      <c r="U93" s="950"/>
      <c r="V93" s="44"/>
      <c r="W93" s="44"/>
      <c r="X93" s="951"/>
      <c r="Y93" s="951"/>
      <c r="Z93" s="98"/>
      <c r="AA93" s="99"/>
      <c r="AB93" s="950"/>
      <c r="AC93" s="950"/>
      <c r="AD93" s="950"/>
      <c r="AE93" s="950"/>
      <c r="AI93" s="41">
        <v>55.274999999999999</v>
      </c>
      <c r="AJ93" s="41" t="s">
        <v>2828</v>
      </c>
      <c r="AK93" s="41">
        <v>7.7839999999999998</v>
      </c>
      <c r="AL93" s="41" t="s">
        <v>2830</v>
      </c>
      <c r="AM93" s="41">
        <v>1000</v>
      </c>
      <c r="AN93" s="41" t="s">
        <v>2829</v>
      </c>
      <c r="AO93" s="423">
        <v>0.43026059999999994</v>
      </c>
      <c r="AP93" s="423"/>
      <c r="AQ93" s="423"/>
      <c r="AR93" s="423"/>
      <c r="AS93" s="423"/>
      <c r="AV93" s="410"/>
      <c r="AW93" s="412"/>
    </row>
    <row r="94" spans="1:51" s="41" customFormat="1" ht="12.75" hidden="1" customHeight="1">
      <c r="A94" s="244"/>
      <c r="B94" s="245"/>
      <c r="C94" s="951"/>
      <c r="D94" s="951"/>
      <c r="E94" s="967"/>
      <c r="F94" s="967"/>
      <c r="G94" s="967"/>
      <c r="H94" s="968"/>
      <c r="I94" s="968"/>
      <c r="J94" s="968"/>
      <c r="K94" s="92"/>
      <c r="L94" s="44"/>
      <c r="M94" s="282"/>
      <c r="N94" s="969"/>
      <c r="O94" s="969"/>
      <c r="P94" s="98"/>
      <c r="Q94" s="99"/>
      <c r="R94" s="950"/>
      <c r="S94" s="950"/>
      <c r="T94" s="950"/>
      <c r="U94" s="950"/>
      <c r="V94" s="44"/>
      <c r="W94" s="44"/>
      <c r="X94" s="951"/>
      <c r="Y94" s="951"/>
      <c r="Z94" s="98"/>
      <c r="AA94" s="99"/>
      <c r="AB94" s="950"/>
      <c r="AC94" s="950"/>
      <c r="AD94" s="950"/>
      <c r="AE94" s="950"/>
      <c r="AI94" s="41">
        <v>55.274999999999999</v>
      </c>
      <c r="AJ94" s="41" t="s">
        <v>2828</v>
      </c>
      <c r="AK94" s="41">
        <v>7.7839999999999998</v>
      </c>
      <c r="AL94" s="41" t="s">
        <v>2830</v>
      </c>
      <c r="AM94" s="41">
        <v>1000</v>
      </c>
      <c r="AN94" s="41" t="s">
        <v>2829</v>
      </c>
      <c r="AO94" s="423">
        <v>0.43026059999999994</v>
      </c>
      <c r="AP94" s="423"/>
      <c r="AQ94" s="423"/>
      <c r="AR94" s="423"/>
      <c r="AS94" s="423"/>
      <c r="AV94" s="410"/>
      <c r="AW94" s="412"/>
    </row>
    <row r="95" spans="1:51" s="41" customFormat="1" ht="12.75" hidden="1" customHeight="1">
      <c r="A95" s="244"/>
      <c r="B95" s="245"/>
      <c r="C95" s="951"/>
      <c r="D95" s="951"/>
      <c r="E95" s="967"/>
      <c r="F95" s="967"/>
      <c r="G95" s="967"/>
      <c r="H95" s="968"/>
      <c r="I95" s="968"/>
      <c r="J95" s="968"/>
      <c r="K95" s="92"/>
      <c r="L95" s="44"/>
      <c r="M95" s="282"/>
      <c r="N95" s="969"/>
      <c r="O95" s="969"/>
      <c r="P95" s="98"/>
      <c r="Q95" s="99"/>
      <c r="R95" s="950"/>
      <c r="S95" s="950"/>
      <c r="T95" s="950"/>
      <c r="U95" s="950"/>
      <c r="V95" s="44"/>
      <c r="W95" s="44"/>
      <c r="X95" s="951"/>
      <c r="Y95" s="951"/>
      <c r="Z95" s="98"/>
      <c r="AA95" s="99"/>
      <c r="AB95" s="950"/>
      <c r="AC95" s="950"/>
      <c r="AD95" s="950"/>
      <c r="AE95" s="950"/>
      <c r="AI95" s="41">
        <v>55.274999999999999</v>
      </c>
      <c r="AJ95" s="41" t="s">
        <v>2828</v>
      </c>
      <c r="AK95" s="41">
        <v>7.7839999999999998</v>
      </c>
      <c r="AL95" s="41" t="s">
        <v>2830</v>
      </c>
      <c r="AM95" s="41">
        <v>1000</v>
      </c>
      <c r="AN95" s="41" t="s">
        <v>2829</v>
      </c>
      <c r="AO95" s="423">
        <v>0.43026059999999994</v>
      </c>
      <c r="AP95" s="423"/>
      <c r="AQ95" s="423"/>
      <c r="AR95" s="423"/>
      <c r="AS95" s="423"/>
      <c r="AV95" s="410"/>
      <c r="AW95" s="412"/>
    </row>
    <row r="96" spans="1:51" s="41" customFormat="1" ht="12.75" hidden="1" customHeight="1">
      <c r="A96" s="244"/>
      <c r="B96" s="245"/>
      <c r="C96" s="951"/>
      <c r="D96" s="951"/>
      <c r="E96" s="967"/>
      <c r="F96" s="967"/>
      <c r="G96" s="967"/>
      <c r="H96" s="968"/>
      <c r="I96" s="968"/>
      <c r="J96" s="968"/>
      <c r="K96" s="92"/>
      <c r="L96" s="44"/>
      <c r="M96" s="282"/>
      <c r="N96" s="969"/>
      <c r="O96" s="969"/>
      <c r="P96" s="98"/>
      <c r="Q96" s="99"/>
      <c r="R96" s="950"/>
      <c r="S96" s="950"/>
      <c r="T96" s="950"/>
      <c r="U96" s="950"/>
      <c r="V96" s="44"/>
      <c r="W96" s="44"/>
      <c r="X96" s="951"/>
      <c r="Y96" s="951"/>
      <c r="Z96" s="98"/>
      <c r="AA96" s="99"/>
      <c r="AB96" s="950"/>
      <c r="AC96" s="950"/>
      <c r="AD96" s="950"/>
      <c r="AE96" s="950"/>
      <c r="AI96" s="41">
        <v>55.274999999999999</v>
      </c>
      <c r="AJ96" s="41" t="s">
        <v>2828</v>
      </c>
      <c r="AK96" s="41">
        <v>7.7839999999999998</v>
      </c>
      <c r="AL96" s="41" t="s">
        <v>2830</v>
      </c>
      <c r="AM96" s="41">
        <v>1000</v>
      </c>
      <c r="AN96" s="41" t="s">
        <v>2829</v>
      </c>
      <c r="AO96" s="423">
        <v>0.43026059999999994</v>
      </c>
      <c r="AP96" s="423"/>
      <c r="AQ96" s="423"/>
      <c r="AR96" s="423"/>
      <c r="AS96" s="423"/>
      <c r="AV96" s="410"/>
      <c r="AW96" s="412"/>
    </row>
    <row r="97" spans="1:49" s="41" customFormat="1" ht="12.75" hidden="1" customHeight="1">
      <c r="A97" s="244"/>
      <c r="B97" s="245"/>
      <c r="C97" s="951"/>
      <c r="D97" s="951"/>
      <c r="E97" s="967"/>
      <c r="F97" s="967"/>
      <c r="G97" s="967"/>
      <c r="H97" s="968"/>
      <c r="I97" s="968"/>
      <c r="J97" s="968"/>
      <c r="K97" s="92"/>
      <c r="L97" s="44"/>
      <c r="M97" s="282"/>
      <c r="N97" s="969"/>
      <c r="O97" s="969"/>
      <c r="P97" s="98"/>
      <c r="Q97" s="99"/>
      <c r="R97" s="950"/>
      <c r="S97" s="950"/>
      <c r="T97" s="950"/>
      <c r="U97" s="950"/>
      <c r="V97" s="44"/>
      <c r="W97" s="44"/>
      <c r="X97" s="951"/>
      <c r="Y97" s="951"/>
      <c r="Z97" s="98"/>
      <c r="AA97" s="99"/>
      <c r="AB97" s="950"/>
      <c r="AC97" s="950"/>
      <c r="AD97" s="950"/>
      <c r="AE97" s="950"/>
      <c r="AI97" s="41">
        <v>55.274999999999999</v>
      </c>
      <c r="AJ97" s="41" t="s">
        <v>2828</v>
      </c>
      <c r="AK97" s="41">
        <v>7.7839999999999998</v>
      </c>
      <c r="AL97" s="41" t="s">
        <v>2830</v>
      </c>
      <c r="AM97" s="41">
        <v>1000</v>
      </c>
      <c r="AN97" s="41" t="s">
        <v>2829</v>
      </c>
      <c r="AO97" s="423">
        <v>0.43026059999999994</v>
      </c>
      <c r="AP97" s="423"/>
      <c r="AQ97" s="423"/>
      <c r="AR97" s="423"/>
      <c r="AS97" s="423"/>
      <c r="AV97" s="410"/>
      <c r="AW97" s="412"/>
    </row>
    <row r="98" spans="1:49" s="41" customFormat="1" ht="12.75" hidden="1" customHeight="1">
      <c r="A98" s="244"/>
      <c r="B98" s="245"/>
      <c r="C98" s="951"/>
      <c r="D98" s="951"/>
      <c r="E98" s="967"/>
      <c r="F98" s="967"/>
      <c r="G98" s="967"/>
      <c r="H98" s="968"/>
      <c r="I98" s="968"/>
      <c r="J98" s="968"/>
      <c r="K98" s="92"/>
      <c r="L98" s="44"/>
      <c r="M98" s="282"/>
      <c r="N98" s="969"/>
      <c r="O98" s="969"/>
      <c r="P98" s="98"/>
      <c r="Q98" s="99"/>
      <c r="R98" s="950"/>
      <c r="S98" s="950"/>
      <c r="T98" s="950"/>
      <c r="U98" s="950"/>
      <c r="V98" s="44"/>
      <c r="W98" s="44"/>
      <c r="X98" s="951"/>
      <c r="Y98" s="951"/>
      <c r="Z98" s="98"/>
      <c r="AA98" s="99"/>
      <c r="AB98" s="950"/>
      <c r="AC98" s="950"/>
      <c r="AD98" s="950"/>
      <c r="AE98" s="950"/>
      <c r="AI98" s="41">
        <v>55.274999999999999</v>
      </c>
      <c r="AJ98" s="41" t="s">
        <v>2828</v>
      </c>
      <c r="AK98" s="41">
        <v>7.7839999999999998</v>
      </c>
      <c r="AL98" s="41" t="s">
        <v>2830</v>
      </c>
      <c r="AM98" s="41">
        <v>1000</v>
      </c>
      <c r="AN98" s="41" t="s">
        <v>2829</v>
      </c>
      <c r="AO98" s="423">
        <v>0.43026059999999994</v>
      </c>
      <c r="AP98" s="423"/>
      <c r="AQ98" s="423"/>
      <c r="AR98" s="423"/>
      <c r="AS98" s="423"/>
      <c r="AV98" s="410"/>
      <c r="AW98" s="412"/>
    </row>
    <row r="99" spans="1:49" s="41" customFormat="1" ht="12.75" hidden="1" customHeight="1">
      <c r="A99" s="244"/>
      <c r="B99" s="245"/>
      <c r="C99" s="951"/>
      <c r="D99" s="951"/>
      <c r="E99" s="967"/>
      <c r="F99" s="967"/>
      <c r="G99" s="967"/>
      <c r="H99" s="968"/>
      <c r="I99" s="968"/>
      <c r="J99" s="968"/>
      <c r="K99" s="92"/>
      <c r="L99" s="44"/>
      <c r="M99" s="282"/>
      <c r="N99" s="969"/>
      <c r="O99" s="969"/>
      <c r="P99" s="98"/>
      <c r="Q99" s="99"/>
      <c r="R99" s="950"/>
      <c r="S99" s="950"/>
      <c r="T99" s="950"/>
      <c r="U99" s="950"/>
      <c r="V99" s="44"/>
      <c r="W99" s="44"/>
      <c r="X99" s="951"/>
      <c r="Y99" s="951"/>
      <c r="Z99" s="98"/>
      <c r="AA99" s="99"/>
      <c r="AB99" s="950"/>
      <c r="AC99" s="950"/>
      <c r="AD99" s="950"/>
      <c r="AE99" s="950"/>
      <c r="AI99" s="41">
        <v>55.274999999999999</v>
      </c>
      <c r="AJ99" s="41" t="s">
        <v>2828</v>
      </c>
      <c r="AK99" s="41">
        <v>7.7839999999999998</v>
      </c>
      <c r="AL99" s="41" t="s">
        <v>2830</v>
      </c>
      <c r="AM99" s="41">
        <v>1000</v>
      </c>
      <c r="AN99" s="41" t="s">
        <v>2829</v>
      </c>
      <c r="AO99" s="423">
        <v>0.43026059999999994</v>
      </c>
      <c r="AP99" s="423"/>
      <c r="AQ99" s="423"/>
      <c r="AR99" s="423"/>
      <c r="AS99" s="423"/>
      <c r="AV99" s="410"/>
      <c r="AW99" s="412"/>
    </row>
    <row r="100" spans="1:49" s="41" customFormat="1" ht="12.75" hidden="1" customHeight="1">
      <c r="A100" s="244"/>
      <c r="B100" s="245"/>
      <c r="C100" s="951"/>
      <c r="D100" s="951"/>
      <c r="E100" s="967"/>
      <c r="F100" s="967"/>
      <c r="G100" s="967"/>
      <c r="H100" s="968"/>
      <c r="I100" s="968"/>
      <c r="J100" s="968"/>
      <c r="K100" s="92"/>
      <c r="L100" s="44"/>
      <c r="M100" s="282"/>
      <c r="N100" s="969"/>
      <c r="O100" s="969"/>
      <c r="P100" s="98"/>
      <c r="Q100" s="99"/>
      <c r="R100" s="950"/>
      <c r="S100" s="950"/>
      <c r="T100" s="950"/>
      <c r="U100" s="950"/>
      <c r="V100" s="44"/>
      <c r="W100" s="44"/>
      <c r="X100" s="951"/>
      <c r="Y100" s="951"/>
      <c r="Z100" s="98"/>
      <c r="AA100" s="99"/>
      <c r="AB100" s="950"/>
      <c r="AC100" s="950"/>
      <c r="AD100" s="950"/>
      <c r="AE100" s="950"/>
      <c r="AI100" s="41">
        <v>55.274999999999999</v>
      </c>
      <c r="AJ100" s="41" t="s">
        <v>2828</v>
      </c>
      <c r="AK100" s="41">
        <v>7.7839999999999998</v>
      </c>
      <c r="AL100" s="41" t="s">
        <v>2830</v>
      </c>
      <c r="AM100" s="41">
        <v>1000</v>
      </c>
      <c r="AN100" s="41" t="s">
        <v>2829</v>
      </c>
      <c r="AO100" s="423">
        <v>0.43026059999999994</v>
      </c>
      <c r="AP100" s="423"/>
      <c r="AQ100" s="423"/>
      <c r="AR100" s="423"/>
      <c r="AS100" s="423"/>
      <c r="AV100" s="410"/>
      <c r="AW100" s="412"/>
    </row>
    <row r="101" spans="1:49" s="41" customFormat="1" ht="12.75" hidden="1" customHeight="1">
      <c r="A101" s="244"/>
      <c r="B101" s="245"/>
      <c r="C101" s="951"/>
      <c r="D101" s="951"/>
      <c r="E101" s="967"/>
      <c r="F101" s="967"/>
      <c r="G101" s="967"/>
      <c r="H101" s="968"/>
      <c r="I101" s="968"/>
      <c r="J101" s="968"/>
      <c r="K101" s="92"/>
      <c r="L101" s="44"/>
      <c r="M101" s="282"/>
      <c r="N101" s="969"/>
      <c r="O101" s="969"/>
      <c r="P101" s="98"/>
      <c r="Q101" s="99"/>
      <c r="R101" s="950"/>
      <c r="S101" s="950"/>
      <c r="T101" s="950"/>
      <c r="U101" s="950"/>
      <c r="V101" s="44"/>
      <c r="W101" s="44"/>
      <c r="X101" s="951"/>
      <c r="Y101" s="951"/>
      <c r="Z101" s="98"/>
      <c r="AA101" s="99"/>
      <c r="AB101" s="950"/>
      <c r="AC101" s="950"/>
      <c r="AD101" s="950"/>
      <c r="AE101" s="950"/>
      <c r="AI101" s="41">
        <v>55.274999999999999</v>
      </c>
      <c r="AJ101" s="41" t="s">
        <v>2828</v>
      </c>
      <c r="AK101" s="41">
        <v>7.7839999999999998</v>
      </c>
      <c r="AL101" s="41" t="s">
        <v>2830</v>
      </c>
      <c r="AM101" s="41">
        <v>1000</v>
      </c>
      <c r="AN101" s="41" t="s">
        <v>2829</v>
      </c>
      <c r="AO101" s="423">
        <v>0.43026059999999994</v>
      </c>
      <c r="AP101" s="423"/>
      <c r="AQ101" s="423"/>
      <c r="AR101" s="423"/>
      <c r="AS101" s="423"/>
      <c r="AV101" s="410"/>
      <c r="AW101" s="412"/>
    </row>
    <row r="102" spans="1:49" s="41" customFormat="1" ht="12.75" hidden="1" customHeight="1">
      <c r="A102" s="244"/>
      <c r="B102" s="245"/>
      <c r="C102" s="951"/>
      <c r="D102" s="951"/>
      <c r="E102" s="967"/>
      <c r="F102" s="967"/>
      <c r="G102" s="967"/>
      <c r="H102" s="968"/>
      <c r="I102" s="968"/>
      <c r="J102" s="968"/>
      <c r="K102" s="92"/>
      <c r="L102" s="44"/>
      <c r="M102" s="282"/>
      <c r="N102" s="969"/>
      <c r="O102" s="969"/>
      <c r="P102" s="98"/>
      <c r="Q102" s="99"/>
      <c r="R102" s="950"/>
      <c r="S102" s="950"/>
      <c r="T102" s="950"/>
      <c r="U102" s="950"/>
      <c r="V102" s="44"/>
      <c r="W102" s="44"/>
      <c r="X102" s="951"/>
      <c r="Y102" s="951"/>
      <c r="Z102" s="98"/>
      <c r="AA102" s="99"/>
      <c r="AB102" s="950"/>
      <c r="AC102" s="950"/>
      <c r="AD102" s="950"/>
      <c r="AE102" s="950"/>
      <c r="AI102" s="41">
        <v>55.274999999999999</v>
      </c>
      <c r="AJ102" s="41" t="s">
        <v>2828</v>
      </c>
      <c r="AK102" s="41">
        <v>7.7839999999999998</v>
      </c>
      <c r="AL102" s="41" t="s">
        <v>2830</v>
      </c>
      <c r="AM102" s="41">
        <v>1000</v>
      </c>
      <c r="AN102" s="41" t="s">
        <v>2829</v>
      </c>
      <c r="AO102" s="423">
        <v>0.43026059999999994</v>
      </c>
      <c r="AP102" s="423"/>
      <c r="AQ102" s="423"/>
      <c r="AR102" s="423"/>
      <c r="AS102" s="423"/>
      <c r="AV102" s="410"/>
      <c r="AW102" s="412"/>
    </row>
    <row r="103" spans="1:49" s="41" customFormat="1" ht="12.75" hidden="1" customHeight="1">
      <c r="A103" s="244"/>
      <c r="B103" s="245"/>
      <c r="C103" s="951"/>
      <c r="D103" s="951"/>
      <c r="E103" s="967"/>
      <c r="F103" s="967"/>
      <c r="G103" s="967"/>
      <c r="H103" s="968"/>
      <c r="I103" s="968"/>
      <c r="J103" s="968"/>
      <c r="K103" s="92"/>
      <c r="L103" s="44"/>
      <c r="M103" s="282"/>
      <c r="N103" s="969"/>
      <c r="O103" s="969"/>
      <c r="P103" s="98"/>
      <c r="Q103" s="99"/>
      <c r="R103" s="950"/>
      <c r="S103" s="950"/>
      <c r="T103" s="950"/>
      <c r="U103" s="950"/>
      <c r="V103" s="44"/>
      <c r="W103" s="44"/>
      <c r="X103" s="951"/>
      <c r="Y103" s="951"/>
      <c r="Z103" s="98"/>
      <c r="AA103" s="99"/>
      <c r="AB103" s="950"/>
      <c r="AC103" s="950"/>
      <c r="AD103" s="950"/>
      <c r="AE103" s="950"/>
      <c r="AI103" s="41">
        <v>55.274999999999999</v>
      </c>
      <c r="AJ103" s="41" t="s">
        <v>2828</v>
      </c>
      <c r="AK103" s="41">
        <v>7.7839999999999998</v>
      </c>
      <c r="AL103" s="41" t="s">
        <v>2830</v>
      </c>
      <c r="AM103" s="41">
        <v>1000</v>
      </c>
      <c r="AN103" s="41" t="s">
        <v>2829</v>
      </c>
      <c r="AO103" s="423">
        <v>0.43026059999999994</v>
      </c>
      <c r="AP103" s="423"/>
      <c r="AQ103" s="423"/>
      <c r="AR103" s="423"/>
      <c r="AS103" s="423"/>
      <c r="AV103" s="410"/>
      <c r="AW103" s="412"/>
    </row>
    <row r="104" spans="1:49" s="41" customFormat="1" ht="12.75" hidden="1" customHeight="1">
      <c r="A104" s="244"/>
      <c r="B104" s="245"/>
      <c r="C104" s="951"/>
      <c r="D104" s="951"/>
      <c r="E104" s="967"/>
      <c r="F104" s="967"/>
      <c r="G104" s="967"/>
      <c r="H104" s="968"/>
      <c r="I104" s="968"/>
      <c r="J104" s="968"/>
      <c r="K104" s="92"/>
      <c r="L104" s="44"/>
      <c r="M104" s="282"/>
      <c r="N104" s="969"/>
      <c r="O104" s="969"/>
      <c r="P104" s="98"/>
      <c r="Q104" s="99"/>
      <c r="R104" s="950"/>
      <c r="S104" s="950"/>
      <c r="T104" s="950"/>
      <c r="U104" s="950"/>
      <c r="V104" s="44"/>
      <c r="W104" s="44"/>
      <c r="X104" s="951"/>
      <c r="Y104" s="951"/>
      <c r="Z104" s="98"/>
      <c r="AA104" s="99"/>
      <c r="AB104" s="950"/>
      <c r="AC104" s="950"/>
      <c r="AD104" s="950"/>
      <c r="AE104" s="950"/>
      <c r="AI104" s="41">
        <v>55.274999999999999</v>
      </c>
      <c r="AJ104" s="41" t="s">
        <v>2828</v>
      </c>
      <c r="AK104" s="41">
        <v>7.7839999999999998</v>
      </c>
      <c r="AL104" s="41" t="s">
        <v>2830</v>
      </c>
      <c r="AM104" s="41">
        <v>1000</v>
      </c>
      <c r="AN104" s="41" t="s">
        <v>2829</v>
      </c>
      <c r="AO104" s="423">
        <v>0.43026059999999994</v>
      </c>
      <c r="AP104" s="423"/>
      <c r="AQ104" s="423"/>
      <c r="AR104" s="423"/>
      <c r="AS104" s="423"/>
      <c r="AV104" s="410"/>
      <c r="AW104" s="412"/>
    </row>
    <row r="105" spans="1:49" s="41" customFormat="1" ht="12.75" hidden="1" customHeight="1">
      <c r="A105" s="244"/>
      <c r="B105" s="245"/>
      <c r="C105" s="951"/>
      <c r="D105" s="951"/>
      <c r="E105" s="967"/>
      <c r="F105" s="967"/>
      <c r="G105" s="967"/>
      <c r="H105" s="968"/>
      <c r="I105" s="968"/>
      <c r="J105" s="968"/>
      <c r="K105" s="92"/>
      <c r="L105" s="44"/>
      <c r="M105" s="282"/>
      <c r="N105" s="969"/>
      <c r="O105" s="969"/>
      <c r="P105" s="98"/>
      <c r="Q105" s="99"/>
      <c r="R105" s="950"/>
      <c r="S105" s="950"/>
      <c r="T105" s="950"/>
      <c r="U105" s="950"/>
      <c r="V105" s="44"/>
      <c r="W105" s="44"/>
      <c r="X105" s="951"/>
      <c r="Y105" s="951"/>
      <c r="Z105" s="98"/>
      <c r="AA105" s="99"/>
      <c r="AB105" s="950"/>
      <c r="AC105" s="950"/>
      <c r="AD105" s="950"/>
      <c r="AE105" s="950"/>
      <c r="AI105" s="41">
        <v>55.274999999999999</v>
      </c>
      <c r="AJ105" s="41" t="s">
        <v>2828</v>
      </c>
      <c r="AK105" s="41">
        <v>7.7839999999999998</v>
      </c>
      <c r="AL105" s="41" t="s">
        <v>2830</v>
      </c>
      <c r="AM105" s="41">
        <v>1000</v>
      </c>
      <c r="AN105" s="41" t="s">
        <v>2829</v>
      </c>
      <c r="AO105" s="423">
        <v>0.43026059999999994</v>
      </c>
      <c r="AP105" s="423"/>
      <c r="AQ105" s="423"/>
      <c r="AR105" s="423"/>
      <c r="AS105" s="423"/>
      <c r="AV105" s="410"/>
      <c r="AW105" s="412"/>
    </row>
    <row r="106" spans="1:49" s="41" customFormat="1" ht="12.75" hidden="1" customHeight="1">
      <c r="A106" s="244"/>
      <c r="B106" s="245"/>
      <c r="C106" s="951"/>
      <c r="D106" s="951"/>
      <c r="E106" s="967"/>
      <c r="F106" s="967"/>
      <c r="G106" s="967"/>
      <c r="H106" s="968"/>
      <c r="I106" s="968"/>
      <c r="J106" s="968"/>
      <c r="K106" s="92"/>
      <c r="L106" s="44"/>
      <c r="M106" s="282"/>
      <c r="N106" s="969"/>
      <c r="O106" s="969"/>
      <c r="P106" s="98"/>
      <c r="Q106" s="99"/>
      <c r="R106" s="950"/>
      <c r="S106" s="950"/>
      <c r="T106" s="950"/>
      <c r="U106" s="950"/>
      <c r="V106" s="44"/>
      <c r="W106" s="44"/>
      <c r="X106" s="951"/>
      <c r="Y106" s="951"/>
      <c r="Z106" s="98"/>
      <c r="AA106" s="99"/>
      <c r="AB106" s="950"/>
      <c r="AC106" s="950"/>
      <c r="AD106" s="950"/>
      <c r="AE106" s="950"/>
      <c r="AI106" s="41">
        <v>55.274999999999999</v>
      </c>
      <c r="AJ106" s="41" t="s">
        <v>2828</v>
      </c>
      <c r="AK106" s="41">
        <v>7.7839999999999998</v>
      </c>
      <c r="AL106" s="41" t="s">
        <v>2830</v>
      </c>
      <c r="AM106" s="41">
        <v>1000</v>
      </c>
      <c r="AN106" s="41" t="s">
        <v>2829</v>
      </c>
      <c r="AO106" s="423">
        <v>0.43026059999999994</v>
      </c>
      <c r="AP106" s="423"/>
      <c r="AQ106" s="423"/>
      <c r="AR106" s="423"/>
      <c r="AS106" s="423"/>
      <c r="AV106" s="410"/>
      <c r="AW106" s="412"/>
    </row>
    <row r="107" spans="1:49" s="41" customFormat="1" ht="12.75" hidden="1" customHeight="1">
      <c r="A107" s="244"/>
      <c r="B107" s="245"/>
      <c r="C107" s="951"/>
      <c r="D107" s="951"/>
      <c r="E107" s="967"/>
      <c r="F107" s="967"/>
      <c r="G107" s="967"/>
      <c r="H107" s="968"/>
      <c r="I107" s="968"/>
      <c r="J107" s="968"/>
      <c r="K107" s="92"/>
      <c r="L107" s="44"/>
      <c r="M107" s="282"/>
      <c r="N107" s="969"/>
      <c r="O107" s="969"/>
      <c r="P107" s="98"/>
      <c r="Q107" s="99"/>
      <c r="R107" s="950"/>
      <c r="S107" s="950"/>
      <c r="T107" s="950"/>
      <c r="U107" s="950"/>
      <c r="V107" s="44"/>
      <c r="W107" s="44"/>
      <c r="X107" s="951"/>
      <c r="Y107" s="951"/>
      <c r="Z107" s="98"/>
      <c r="AA107" s="99"/>
      <c r="AB107" s="950"/>
      <c r="AC107" s="950"/>
      <c r="AD107" s="950"/>
      <c r="AE107" s="950"/>
      <c r="AI107" s="41">
        <v>55.274999999999999</v>
      </c>
      <c r="AJ107" s="41" t="s">
        <v>2828</v>
      </c>
      <c r="AK107" s="41">
        <v>7.7839999999999998</v>
      </c>
      <c r="AL107" s="41" t="s">
        <v>2830</v>
      </c>
      <c r="AM107" s="41">
        <v>1000</v>
      </c>
      <c r="AN107" s="41" t="s">
        <v>2829</v>
      </c>
      <c r="AO107" s="423">
        <v>0.43026059999999994</v>
      </c>
      <c r="AP107" s="423"/>
      <c r="AQ107" s="423"/>
      <c r="AR107" s="423"/>
      <c r="AS107" s="423"/>
      <c r="AV107" s="410"/>
      <c r="AW107" s="412"/>
    </row>
    <row r="108" spans="1:49" s="41" customFormat="1" ht="12.75" hidden="1" customHeight="1">
      <c r="A108" s="244"/>
      <c r="B108" s="245"/>
      <c r="C108" s="951"/>
      <c r="D108" s="951"/>
      <c r="E108" s="967"/>
      <c r="F108" s="967"/>
      <c r="G108" s="967"/>
      <c r="H108" s="968"/>
      <c r="I108" s="968"/>
      <c r="J108" s="968"/>
      <c r="K108" s="92"/>
      <c r="L108" s="44"/>
      <c r="M108" s="282"/>
      <c r="N108" s="969"/>
      <c r="O108" s="969"/>
      <c r="P108" s="98"/>
      <c r="Q108" s="99"/>
      <c r="R108" s="950"/>
      <c r="S108" s="950"/>
      <c r="T108" s="950"/>
      <c r="U108" s="950"/>
      <c r="V108" s="44"/>
      <c r="W108" s="44"/>
      <c r="X108" s="951"/>
      <c r="Y108" s="951"/>
      <c r="Z108" s="98"/>
      <c r="AA108" s="99"/>
      <c r="AB108" s="950"/>
      <c r="AC108" s="950"/>
      <c r="AD108" s="950"/>
      <c r="AE108" s="950"/>
      <c r="AI108" s="41">
        <v>55.274999999999999</v>
      </c>
      <c r="AJ108" s="41" t="s">
        <v>2828</v>
      </c>
      <c r="AK108" s="41">
        <v>7.7839999999999998</v>
      </c>
      <c r="AL108" s="41" t="s">
        <v>2830</v>
      </c>
      <c r="AM108" s="41">
        <v>1000</v>
      </c>
      <c r="AN108" s="41" t="s">
        <v>2829</v>
      </c>
      <c r="AO108" s="423">
        <v>0.43026059999999994</v>
      </c>
      <c r="AP108" s="423"/>
      <c r="AQ108" s="423"/>
      <c r="AR108" s="423"/>
      <c r="AS108" s="423"/>
      <c r="AV108" s="410"/>
      <c r="AW108" s="412"/>
    </row>
    <row r="109" spans="1:49" s="41" customFormat="1" ht="12.75" hidden="1" customHeight="1">
      <c r="A109" s="244"/>
      <c r="B109" s="245"/>
      <c r="C109" s="951"/>
      <c r="D109" s="951"/>
      <c r="E109" s="967"/>
      <c r="F109" s="967"/>
      <c r="G109" s="967"/>
      <c r="H109" s="968"/>
      <c r="I109" s="968"/>
      <c r="J109" s="968"/>
      <c r="K109" s="92"/>
      <c r="L109" s="44"/>
      <c r="M109" s="282"/>
      <c r="N109" s="969"/>
      <c r="O109" s="969"/>
      <c r="P109" s="98"/>
      <c r="Q109" s="99"/>
      <c r="R109" s="950"/>
      <c r="S109" s="950"/>
      <c r="T109" s="950"/>
      <c r="U109" s="950"/>
      <c r="V109" s="44"/>
      <c r="W109" s="44"/>
      <c r="X109" s="951"/>
      <c r="Y109" s="951"/>
      <c r="Z109" s="98"/>
      <c r="AA109" s="99"/>
      <c r="AB109" s="950"/>
      <c r="AC109" s="950"/>
      <c r="AD109" s="950"/>
      <c r="AE109" s="950"/>
      <c r="AI109" s="41">
        <v>55.274999999999999</v>
      </c>
      <c r="AJ109" s="41" t="s">
        <v>2828</v>
      </c>
      <c r="AK109" s="41">
        <v>7.7839999999999998</v>
      </c>
      <c r="AL109" s="41" t="s">
        <v>2830</v>
      </c>
      <c r="AM109" s="41">
        <v>1000</v>
      </c>
      <c r="AN109" s="41" t="s">
        <v>2829</v>
      </c>
      <c r="AO109" s="423">
        <v>0.43026059999999994</v>
      </c>
      <c r="AP109" s="423"/>
      <c r="AQ109" s="423"/>
      <c r="AR109" s="423"/>
      <c r="AS109" s="423"/>
      <c r="AV109" s="410"/>
      <c r="AW109" s="412"/>
    </row>
    <row r="110" spans="1:49" s="41" customFormat="1" ht="12.75" hidden="1" customHeight="1">
      <c r="A110" s="244"/>
      <c r="B110" s="245"/>
      <c r="C110" s="951"/>
      <c r="D110" s="951"/>
      <c r="E110" s="967"/>
      <c r="F110" s="967"/>
      <c r="G110" s="967"/>
      <c r="H110" s="968"/>
      <c r="I110" s="968"/>
      <c r="J110" s="968"/>
      <c r="K110" s="92"/>
      <c r="L110" s="44"/>
      <c r="M110" s="282"/>
      <c r="N110" s="969"/>
      <c r="O110" s="969"/>
      <c r="P110" s="98"/>
      <c r="Q110" s="99"/>
      <c r="R110" s="950"/>
      <c r="S110" s="950"/>
      <c r="T110" s="950"/>
      <c r="U110" s="950"/>
      <c r="V110" s="44"/>
      <c r="W110" s="44"/>
      <c r="X110" s="951"/>
      <c r="Y110" s="951"/>
      <c r="Z110" s="98"/>
      <c r="AA110" s="99"/>
      <c r="AB110" s="950"/>
      <c r="AC110" s="950"/>
      <c r="AD110" s="950"/>
      <c r="AE110" s="950"/>
      <c r="AI110" s="41">
        <v>55.274999999999999</v>
      </c>
      <c r="AJ110" s="41" t="s">
        <v>2828</v>
      </c>
      <c r="AK110" s="41">
        <v>7.7839999999999998</v>
      </c>
      <c r="AL110" s="41" t="s">
        <v>2830</v>
      </c>
      <c r="AM110" s="41">
        <v>1000</v>
      </c>
      <c r="AN110" s="41" t="s">
        <v>2829</v>
      </c>
      <c r="AO110" s="423">
        <v>0.43026059999999994</v>
      </c>
      <c r="AP110" s="423"/>
      <c r="AQ110" s="423"/>
      <c r="AR110" s="423"/>
      <c r="AS110" s="423"/>
      <c r="AV110" s="410"/>
      <c r="AW110" s="412"/>
    </row>
    <row r="111" spans="1:49" s="41" customFormat="1" ht="12.75" hidden="1" customHeight="1">
      <c r="A111" s="244"/>
      <c r="B111" s="245"/>
      <c r="C111" s="951"/>
      <c r="D111" s="951"/>
      <c r="E111" s="967"/>
      <c r="F111" s="967"/>
      <c r="G111" s="967"/>
      <c r="H111" s="968"/>
      <c r="I111" s="968"/>
      <c r="J111" s="968"/>
      <c r="K111" s="92"/>
      <c r="L111" s="44"/>
      <c r="M111" s="282"/>
      <c r="N111" s="969"/>
      <c r="O111" s="969"/>
      <c r="P111" s="98"/>
      <c r="Q111" s="99"/>
      <c r="R111" s="950"/>
      <c r="S111" s="950"/>
      <c r="T111" s="950"/>
      <c r="U111" s="950"/>
      <c r="V111" s="44"/>
      <c r="W111" s="44"/>
      <c r="X111" s="951"/>
      <c r="Y111" s="951"/>
      <c r="Z111" s="98"/>
      <c r="AA111" s="99"/>
      <c r="AB111" s="950"/>
      <c r="AC111" s="950"/>
      <c r="AD111" s="950"/>
      <c r="AE111" s="950"/>
      <c r="AI111" s="41">
        <v>55.274999999999999</v>
      </c>
      <c r="AJ111" s="41" t="s">
        <v>2828</v>
      </c>
      <c r="AK111" s="41">
        <v>7.7839999999999998</v>
      </c>
      <c r="AL111" s="41" t="s">
        <v>2830</v>
      </c>
      <c r="AM111" s="41">
        <v>1000</v>
      </c>
      <c r="AN111" s="41" t="s">
        <v>2829</v>
      </c>
      <c r="AO111" s="423">
        <v>0.43026059999999994</v>
      </c>
      <c r="AP111" s="423"/>
      <c r="AQ111" s="423"/>
      <c r="AR111" s="423"/>
      <c r="AS111" s="423"/>
      <c r="AV111" s="410"/>
      <c r="AW111" s="412"/>
    </row>
    <row r="112" spans="1:49" s="41" customFormat="1" ht="12.75" hidden="1" customHeight="1">
      <c r="A112" s="244"/>
      <c r="B112" s="245"/>
      <c r="C112" s="951"/>
      <c r="D112" s="951"/>
      <c r="E112" s="967"/>
      <c r="F112" s="967"/>
      <c r="G112" s="967"/>
      <c r="H112" s="968"/>
      <c r="I112" s="968"/>
      <c r="J112" s="968"/>
      <c r="K112" s="92"/>
      <c r="L112" s="44"/>
      <c r="M112" s="282"/>
      <c r="N112" s="969"/>
      <c r="O112" s="969"/>
      <c r="P112" s="98"/>
      <c r="Q112" s="99"/>
      <c r="R112" s="950"/>
      <c r="S112" s="950"/>
      <c r="T112" s="950"/>
      <c r="U112" s="950"/>
      <c r="V112" s="44"/>
      <c r="W112" s="44"/>
      <c r="X112" s="951"/>
      <c r="Y112" s="951"/>
      <c r="Z112" s="98"/>
      <c r="AA112" s="99"/>
      <c r="AB112" s="950"/>
      <c r="AC112" s="950"/>
      <c r="AD112" s="950"/>
      <c r="AE112" s="950"/>
      <c r="AI112" s="41">
        <v>55.274999999999999</v>
      </c>
      <c r="AJ112" s="41" t="s">
        <v>2828</v>
      </c>
      <c r="AK112" s="41">
        <v>7.7839999999999998</v>
      </c>
      <c r="AL112" s="41" t="s">
        <v>2830</v>
      </c>
      <c r="AM112" s="41">
        <v>1000</v>
      </c>
      <c r="AN112" s="41" t="s">
        <v>2829</v>
      </c>
      <c r="AO112" s="423">
        <v>0.43026059999999994</v>
      </c>
      <c r="AP112" s="423"/>
      <c r="AQ112" s="423"/>
      <c r="AR112" s="423"/>
      <c r="AS112" s="423"/>
      <c r="AV112" s="410"/>
      <c r="AW112" s="412"/>
    </row>
    <row r="113" spans="1:49" s="41" customFormat="1" ht="12.75" hidden="1" customHeight="1">
      <c r="A113" s="244"/>
      <c r="B113" s="245"/>
      <c r="C113" s="951"/>
      <c r="D113" s="951"/>
      <c r="E113" s="967"/>
      <c r="F113" s="967"/>
      <c r="G113" s="967"/>
      <c r="H113" s="968"/>
      <c r="I113" s="968"/>
      <c r="J113" s="968"/>
      <c r="K113" s="92"/>
      <c r="L113" s="44"/>
      <c r="M113" s="282"/>
      <c r="N113" s="969"/>
      <c r="O113" s="969"/>
      <c r="P113" s="98"/>
      <c r="Q113" s="99"/>
      <c r="R113" s="950"/>
      <c r="S113" s="950"/>
      <c r="T113" s="950"/>
      <c r="U113" s="950"/>
      <c r="V113" s="44"/>
      <c r="W113" s="44"/>
      <c r="X113" s="951"/>
      <c r="Y113" s="951"/>
      <c r="Z113" s="98"/>
      <c r="AA113" s="99"/>
      <c r="AB113" s="950"/>
      <c r="AC113" s="950"/>
      <c r="AD113" s="950"/>
      <c r="AE113" s="950"/>
      <c r="AI113" s="41">
        <v>55.274999999999999</v>
      </c>
      <c r="AJ113" s="41" t="s">
        <v>2828</v>
      </c>
      <c r="AK113" s="41">
        <v>7.7839999999999998</v>
      </c>
      <c r="AL113" s="41" t="s">
        <v>2830</v>
      </c>
      <c r="AM113" s="41">
        <v>1000</v>
      </c>
      <c r="AN113" s="41" t="s">
        <v>2829</v>
      </c>
      <c r="AO113" s="423">
        <v>0.43026059999999994</v>
      </c>
      <c r="AP113" s="423"/>
      <c r="AQ113" s="423"/>
      <c r="AR113" s="423"/>
      <c r="AS113" s="423"/>
      <c r="AV113" s="410"/>
      <c r="AW113" s="412"/>
    </row>
    <row r="114" spans="1:49" s="41" customFormat="1" ht="12.75" hidden="1" customHeight="1">
      <c r="A114" s="244"/>
      <c r="B114" s="245"/>
      <c r="C114" s="951"/>
      <c r="D114" s="951"/>
      <c r="E114" s="967"/>
      <c r="F114" s="967"/>
      <c r="G114" s="967"/>
      <c r="H114" s="968"/>
      <c r="I114" s="968"/>
      <c r="J114" s="968"/>
      <c r="K114" s="92"/>
      <c r="L114" s="44"/>
      <c r="M114" s="282"/>
      <c r="N114" s="969"/>
      <c r="O114" s="969"/>
      <c r="P114" s="98"/>
      <c r="Q114" s="99"/>
      <c r="R114" s="950"/>
      <c r="S114" s="950"/>
      <c r="T114" s="950"/>
      <c r="U114" s="950"/>
      <c r="V114" s="44"/>
      <c r="W114" s="44"/>
      <c r="X114" s="951"/>
      <c r="Y114" s="951"/>
      <c r="Z114" s="98"/>
      <c r="AA114" s="99"/>
      <c r="AB114" s="950"/>
      <c r="AC114" s="950"/>
      <c r="AD114" s="950"/>
      <c r="AE114" s="950"/>
      <c r="AI114" s="41">
        <v>55.274999999999999</v>
      </c>
      <c r="AJ114" s="41" t="s">
        <v>2828</v>
      </c>
      <c r="AK114" s="41">
        <v>7.7839999999999998</v>
      </c>
      <c r="AL114" s="41" t="s">
        <v>2830</v>
      </c>
      <c r="AM114" s="41">
        <v>1000</v>
      </c>
      <c r="AN114" s="41" t="s">
        <v>2829</v>
      </c>
      <c r="AO114" s="423">
        <v>0.43026059999999994</v>
      </c>
      <c r="AP114" s="423"/>
      <c r="AQ114" s="423"/>
      <c r="AR114" s="423"/>
      <c r="AS114" s="423"/>
      <c r="AV114" s="410"/>
      <c r="AW114" s="412"/>
    </row>
    <row r="115" spans="1:49" s="41" customFormat="1" ht="12.75" hidden="1" customHeight="1">
      <c r="A115" s="244"/>
      <c r="B115" s="245"/>
      <c r="C115" s="951"/>
      <c r="D115" s="951"/>
      <c r="E115" s="967"/>
      <c r="F115" s="967"/>
      <c r="G115" s="967"/>
      <c r="H115" s="968"/>
      <c r="I115" s="968"/>
      <c r="J115" s="968"/>
      <c r="K115" s="92"/>
      <c r="L115" s="44"/>
      <c r="M115" s="282"/>
      <c r="N115" s="969"/>
      <c r="O115" s="969"/>
      <c r="P115" s="98"/>
      <c r="Q115" s="99"/>
      <c r="R115" s="950"/>
      <c r="S115" s="950"/>
      <c r="T115" s="950"/>
      <c r="U115" s="950"/>
      <c r="V115" s="44"/>
      <c r="W115" s="44"/>
      <c r="X115" s="951"/>
      <c r="Y115" s="951"/>
      <c r="Z115" s="98"/>
      <c r="AA115" s="99"/>
      <c r="AB115" s="950"/>
      <c r="AC115" s="950"/>
      <c r="AD115" s="950"/>
      <c r="AE115" s="950"/>
      <c r="AI115" s="41">
        <v>55.274999999999999</v>
      </c>
      <c r="AJ115" s="41" t="s">
        <v>2828</v>
      </c>
      <c r="AK115" s="41">
        <v>7.7839999999999998</v>
      </c>
      <c r="AL115" s="41" t="s">
        <v>2830</v>
      </c>
      <c r="AM115" s="41">
        <v>1000</v>
      </c>
      <c r="AN115" s="41" t="s">
        <v>2829</v>
      </c>
      <c r="AO115" s="423">
        <v>0.43026059999999994</v>
      </c>
      <c r="AP115" s="423"/>
      <c r="AQ115" s="423"/>
      <c r="AR115" s="423"/>
      <c r="AS115" s="423"/>
      <c r="AV115" s="410"/>
      <c r="AW115" s="412"/>
    </row>
    <row r="116" spans="1:49" s="41" customFormat="1" ht="12.75" hidden="1" customHeight="1">
      <c r="A116" s="244"/>
      <c r="B116" s="245"/>
      <c r="C116" s="951"/>
      <c r="D116" s="951"/>
      <c r="E116" s="967"/>
      <c r="F116" s="967"/>
      <c r="G116" s="967"/>
      <c r="H116" s="968"/>
      <c r="I116" s="968"/>
      <c r="J116" s="968"/>
      <c r="K116" s="92"/>
      <c r="L116" s="44"/>
      <c r="M116" s="282"/>
      <c r="N116" s="969"/>
      <c r="O116" s="969"/>
      <c r="P116" s="98"/>
      <c r="Q116" s="99"/>
      <c r="R116" s="950"/>
      <c r="S116" s="950"/>
      <c r="T116" s="950"/>
      <c r="U116" s="950"/>
      <c r="V116" s="44"/>
      <c r="W116" s="44"/>
      <c r="X116" s="951"/>
      <c r="Y116" s="951"/>
      <c r="Z116" s="98"/>
      <c r="AA116" s="99"/>
      <c r="AB116" s="950"/>
      <c r="AC116" s="950"/>
      <c r="AD116" s="950"/>
      <c r="AE116" s="950"/>
      <c r="AI116" s="41">
        <v>55.274999999999999</v>
      </c>
      <c r="AJ116" s="41" t="s">
        <v>2828</v>
      </c>
      <c r="AK116" s="41">
        <v>7.7839999999999998</v>
      </c>
      <c r="AL116" s="41" t="s">
        <v>2830</v>
      </c>
      <c r="AM116" s="41">
        <v>1000</v>
      </c>
      <c r="AN116" s="41" t="s">
        <v>2829</v>
      </c>
      <c r="AO116" s="423">
        <v>0.43026059999999994</v>
      </c>
      <c r="AP116" s="423"/>
      <c r="AQ116" s="423"/>
      <c r="AR116" s="423"/>
      <c r="AS116" s="423"/>
      <c r="AV116" s="410"/>
      <c r="AW116" s="412"/>
    </row>
    <row r="117" spans="1:49" s="41" customFormat="1" ht="12.75" hidden="1" customHeight="1">
      <c r="A117" s="244"/>
      <c r="B117" s="245"/>
      <c r="C117" s="951"/>
      <c r="D117" s="951"/>
      <c r="E117" s="967"/>
      <c r="F117" s="967"/>
      <c r="G117" s="967"/>
      <c r="H117" s="968"/>
      <c r="I117" s="968"/>
      <c r="J117" s="968"/>
      <c r="K117" s="92"/>
      <c r="L117" s="44"/>
      <c r="M117" s="282"/>
      <c r="N117" s="969"/>
      <c r="O117" s="969"/>
      <c r="P117" s="98"/>
      <c r="Q117" s="99"/>
      <c r="R117" s="950"/>
      <c r="S117" s="950"/>
      <c r="T117" s="950"/>
      <c r="U117" s="950"/>
      <c r="V117" s="44"/>
      <c r="W117" s="44"/>
      <c r="X117" s="951"/>
      <c r="Y117" s="951"/>
      <c r="Z117" s="98"/>
      <c r="AA117" s="99"/>
      <c r="AB117" s="950"/>
      <c r="AC117" s="950"/>
      <c r="AD117" s="950"/>
      <c r="AE117" s="950"/>
      <c r="AI117" s="41">
        <v>55.274999999999999</v>
      </c>
      <c r="AJ117" s="41" t="s">
        <v>2828</v>
      </c>
      <c r="AK117" s="41">
        <v>7.7839999999999998</v>
      </c>
      <c r="AL117" s="41" t="s">
        <v>2830</v>
      </c>
      <c r="AM117" s="41">
        <v>1000</v>
      </c>
      <c r="AN117" s="41" t="s">
        <v>2829</v>
      </c>
      <c r="AO117" s="423">
        <v>0.43026059999999994</v>
      </c>
      <c r="AP117" s="423"/>
      <c r="AQ117" s="423"/>
      <c r="AR117" s="423"/>
      <c r="AS117" s="423"/>
      <c r="AV117" s="410"/>
      <c r="AW117" s="412"/>
    </row>
    <row r="118" spans="1:49" s="41" customFormat="1" ht="12.75" hidden="1" customHeight="1">
      <c r="A118" s="244"/>
      <c r="B118" s="245"/>
      <c r="C118" s="951"/>
      <c r="D118" s="951"/>
      <c r="E118" s="967"/>
      <c r="F118" s="967"/>
      <c r="G118" s="967"/>
      <c r="H118" s="968"/>
      <c r="I118" s="968"/>
      <c r="J118" s="968"/>
      <c r="K118" s="92"/>
      <c r="L118" s="44"/>
      <c r="M118" s="282"/>
      <c r="N118" s="969"/>
      <c r="O118" s="969"/>
      <c r="P118" s="98"/>
      <c r="Q118" s="99"/>
      <c r="R118" s="950"/>
      <c r="S118" s="950"/>
      <c r="T118" s="950"/>
      <c r="U118" s="950"/>
      <c r="V118" s="44"/>
      <c r="W118" s="44"/>
      <c r="X118" s="951"/>
      <c r="Y118" s="951"/>
      <c r="Z118" s="98"/>
      <c r="AA118" s="99"/>
      <c r="AB118" s="950"/>
      <c r="AC118" s="950"/>
      <c r="AD118" s="950"/>
      <c r="AE118" s="950"/>
      <c r="AI118" s="41">
        <v>55.274999999999999</v>
      </c>
      <c r="AJ118" s="41" t="s">
        <v>2828</v>
      </c>
      <c r="AK118" s="41">
        <v>7.7839999999999998</v>
      </c>
      <c r="AL118" s="41" t="s">
        <v>2830</v>
      </c>
      <c r="AM118" s="41">
        <v>1000</v>
      </c>
      <c r="AN118" s="41" t="s">
        <v>2829</v>
      </c>
      <c r="AO118" s="423">
        <v>0.43026059999999994</v>
      </c>
      <c r="AP118" s="423"/>
      <c r="AQ118" s="423"/>
      <c r="AR118" s="423"/>
      <c r="AS118" s="423"/>
      <c r="AV118" s="410"/>
      <c r="AW118" s="412"/>
    </row>
    <row r="119" spans="1:49" s="41" customFormat="1" ht="12.75" hidden="1" customHeight="1">
      <c r="A119" s="244"/>
      <c r="B119" s="245"/>
      <c r="C119" s="951"/>
      <c r="D119" s="951"/>
      <c r="E119" s="967"/>
      <c r="F119" s="967"/>
      <c r="G119" s="967"/>
      <c r="H119" s="968"/>
      <c r="I119" s="968"/>
      <c r="J119" s="968"/>
      <c r="K119" s="92"/>
      <c r="L119" s="44"/>
      <c r="M119" s="282"/>
      <c r="N119" s="969"/>
      <c r="O119" s="969"/>
      <c r="P119" s="98"/>
      <c r="Q119" s="99"/>
      <c r="R119" s="950"/>
      <c r="S119" s="950"/>
      <c r="T119" s="950"/>
      <c r="U119" s="950"/>
      <c r="V119" s="44"/>
      <c r="W119" s="44"/>
      <c r="X119" s="951"/>
      <c r="Y119" s="951"/>
      <c r="Z119" s="98"/>
      <c r="AA119" s="99"/>
      <c r="AB119" s="950"/>
      <c r="AC119" s="950"/>
      <c r="AD119" s="950"/>
      <c r="AE119" s="950"/>
      <c r="AI119" s="41">
        <v>55.274999999999999</v>
      </c>
      <c r="AJ119" s="41" t="s">
        <v>2828</v>
      </c>
      <c r="AK119" s="41">
        <v>7.7839999999999998</v>
      </c>
      <c r="AL119" s="41" t="s">
        <v>2830</v>
      </c>
      <c r="AM119" s="41">
        <v>1000</v>
      </c>
      <c r="AN119" s="41" t="s">
        <v>2829</v>
      </c>
      <c r="AO119" s="423">
        <v>0.43026059999999994</v>
      </c>
      <c r="AP119" s="423"/>
      <c r="AQ119" s="423"/>
      <c r="AR119" s="423"/>
      <c r="AS119" s="423"/>
      <c r="AV119" s="410"/>
      <c r="AW119" s="412"/>
    </row>
    <row r="120" spans="1:49" s="41" customFormat="1" ht="12.75" hidden="1" customHeight="1">
      <c r="A120" s="244"/>
      <c r="B120" s="245"/>
      <c r="C120" s="951"/>
      <c r="D120" s="951"/>
      <c r="E120" s="967"/>
      <c r="F120" s="967"/>
      <c r="G120" s="967"/>
      <c r="H120" s="968"/>
      <c r="I120" s="968"/>
      <c r="J120" s="968"/>
      <c r="K120" s="92"/>
      <c r="L120" s="44"/>
      <c r="M120" s="282"/>
      <c r="N120" s="969"/>
      <c r="O120" s="969"/>
      <c r="P120" s="98"/>
      <c r="Q120" s="99"/>
      <c r="R120" s="950"/>
      <c r="S120" s="950"/>
      <c r="T120" s="950"/>
      <c r="U120" s="950"/>
      <c r="V120" s="44"/>
      <c r="W120" s="44"/>
      <c r="X120" s="951"/>
      <c r="Y120" s="951"/>
      <c r="Z120" s="98"/>
      <c r="AA120" s="99"/>
      <c r="AB120" s="950"/>
      <c r="AC120" s="950"/>
      <c r="AD120" s="950"/>
      <c r="AE120" s="950"/>
      <c r="AI120" s="41">
        <v>55.274999999999999</v>
      </c>
      <c r="AJ120" s="41" t="s">
        <v>2828</v>
      </c>
      <c r="AK120" s="41">
        <v>7.7839999999999998</v>
      </c>
      <c r="AL120" s="41" t="s">
        <v>2830</v>
      </c>
      <c r="AM120" s="41">
        <v>1000</v>
      </c>
      <c r="AN120" s="41" t="s">
        <v>2829</v>
      </c>
      <c r="AO120" s="423">
        <v>0.43026059999999994</v>
      </c>
      <c r="AP120" s="423"/>
      <c r="AQ120" s="423"/>
      <c r="AR120" s="423"/>
      <c r="AS120" s="423"/>
      <c r="AV120" s="410"/>
      <c r="AW120" s="412"/>
    </row>
    <row r="121" spans="1:49" s="41" customFormat="1" ht="12.75" hidden="1" customHeight="1">
      <c r="A121" s="244"/>
      <c r="B121" s="245"/>
      <c r="C121" s="951"/>
      <c r="D121" s="951"/>
      <c r="E121" s="967"/>
      <c r="F121" s="967"/>
      <c r="G121" s="967"/>
      <c r="H121" s="968"/>
      <c r="I121" s="968"/>
      <c r="J121" s="968"/>
      <c r="K121" s="92"/>
      <c r="L121" s="44"/>
      <c r="M121" s="282"/>
      <c r="N121" s="969"/>
      <c r="O121" s="969"/>
      <c r="P121" s="98"/>
      <c r="Q121" s="99"/>
      <c r="R121" s="950"/>
      <c r="S121" s="950"/>
      <c r="T121" s="950"/>
      <c r="U121" s="950"/>
      <c r="V121" s="44"/>
      <c r="W121" s="44"/>
      <c r="X121" s="951"/>
      <c r="Y121" s="951"/>
      <c r="Z121" s="98"/>
      <c r="AA121" s="99"/>
      <c r="AB121" s="950"/>
      <c r="AC121" s="950"/>
      <c r="AD121" s="950"/>
      <c r="AE121" s="950"/>
      <c r="AI121" s="41">
        <v>55.274999999999999</v>
      </c>
      <c r="AJ121" s="41" t="s">
        <v>2828</v>
      </c>
      <c r="AK121" s="41">
        <v>7.7839999999999998</v>
      </c>
      <c r="AL121" s="41" t="s">
        <v>2830</v>
      </c>
      <c r="AM121" s="41">
        <v>1000</v>
      </c>
      <c r="AN121" s="41" t="s">
        <v>2829</v>
      </c>
      <c r="AO121" s="423">
        <v>0.43026059999999994</v>
      </c>
      <c r="AP121" s="423"/>
      <c r="AQ121" s="423"/>
      <c r="AR121" s="423"/>
      <c r="AS121" s="423"/>
      <c r="AV121" s="410"/>
      <c r="AW121" s="412"/>
    </row>
    <row r="122" spans="1:49" s="41" customFormat="1" ht="12.75" hidden="1" customHeight="1">
      <c r="A122" s="244"/>
      <c r="B122" s="245"/>
      <c r="C122" s="951"/>
      <c r="D122" s="951"/>
      <c r="E122" s="967"/>
      <c r="F122" s="967"/>
      <c r="G122" s="967"/>
      <c r="H122" s="968"/>
      <c r="I122" s="968"/>
      <c r="J122" s="968"/>
      <c r="K122" s="92"/>
      <c r="L122" s="44"/>
      <c r="M122" s="282"/>
      <c r="N122" s="969"/>
      <c r="O122" s="969"/>
      <c r="P122" s="98"/>
      <c r="Q122" s="99"/>
      <c r="R122" s="950"/>
      <c r="S122" s="950"/>
      <c r="T122" s="950"/>
      <c r="U122" s="950"/>
      <c r="V122" s="44"/>
      <c r="W122" s="44"/>
      <c r="X122" s="951"/>
      <c r="Y122" s="951"/>
      <c r="Z122" s="98"/>
      <c r="AA122" s="99"/>
      <c r="AB122" s="950"/>
      <c r="AC122" s="950"/>
      <c r="AD122" s="950"/>
      <c r="AE122" s="950"/>
      <c r="AI122" s="41">
        <v>55.274999999999999</v>
      </c>
      <c r="AJ122" s="41" t="s">
        <v>2828</v>
      </c>
      <c r="AK122" s="41">
        <v>7.7839999999999998</v>
      </c>
      <c r="AL122" s="41" t="s">
        <v>2830</v>
      </c>
      <c r="AM122" s="41">
        <v>1000</v>
      </c>
      <c r="AN122" s="41" t="s">
        <v>2829</v>
      </c>
      <c r="AO122" s="423">
        <v>0.43026059999999994</v>
      </c>
      <c r="AP122" s="423"/>
      <c r="AQ122" s="423"/>
      <c r="AR122" s="423"/>
      <c r="AS122" s="423"/>
      <c r="AV122" s="410"/>
      <c r="AW122" s="412"/>
    </row>
    <row r="123" spans="1:49" s="41" customFormat="1" ht="12.75" hidden="1" customHeight="1">
      <c r="A123" s="244"/>
      <c r="B123" s="245"/>
      <c r="C123" s="951"/>
      <c r="D123" s="951"/>
      <c r="E123" s="967"/>
      <c r="F123" s="967"/>
      <c r="G123" s="967"/>
      <c r="H123" s="968"/>
      <c r="I123" s="968"/>
      <c r="J123" s="968"/>
      <c r="K123" s="92"/>
      <c r="L123" s="44"/>
      <c r="M123" s="282"/>
      <c r="N123" s="969"/>
      <c r="O123" s="969"/>
      <c r="P123" s="98"/>
      <c r="Q123" s="99"/>
      <c r="R123" s="950"/>
      <c r="S123" s="950"/>
      <c r="T123" s="950"/>
      <c r="U123" s="950"/>
      <c r="V123" s="44"/>
      <c r="W123" s="44"/>
      <c r="X123" s="951"/>
      <c r="Y123" s="951"/>
      <c r="Z123" s="98"/>
      <c r="AA123" s="99"/>
      <c r="AB123" s="950"/>
      <c r="AC123" s="950"/>
      <c r="AD123" s="950"/>
      <c r="AE123" s="950"/>
      <c r="AI123" s="41">
        <v>55.274999999999999</v>
      </c>
      <c r="AJ123" s="41" t="s">
        <v>2828</v>
      </c>
      <c r="AK123" s="41">
        <v>7.7839999999999998</v>
      </c>
      <c r="AL123" s="41" t="s">
        <v>2830</v>
      </c>
      <c r="AM123" s="41">
        <v>1000</v>
      </c>
      <c r="AN123" s="41" t="s">
        <v>2829</v>
      </c>
      <c r="AO123" s="423">
        <v>0.43026059999999994</v>
      </c>
      <c r="AP123" s="423"/>
      <c r="AQ123" s="423"/>
      <c r="AR123" s="423"/>
      <c r="AS123" s="423"/>
      <c r="AV123" s="410"/>
      <c r="AW123" s="412"/>
    </row>
    <row r="124" spans="1:49" s="41" customFormat="1" ht="12.75" hidden="1" customHeight="1">
      <c r="A124" s="244"/>
      <c r="B124" s="245"/>
      <c r="C124" s="951"/>
      <c r="D124" s="951"/>
      <c r="E124" s="967"/>
      <c r="F124" s="967"/>
      <c r="G124" s="967"/>
      <c r="H124" s="968"/>
      <c r="I124" s="968"/>
      <c r="J124" s="968"/>
      <c r="K124" s="92"/>
      <c r="L124" s="44"/>
      <c r="M124" s="282"/>
      <c r="N124" s="969"/>
      <c r="O124" s="969"/>
      <c r="P124" s="98"/>
      <c r="Q124" s="99"/>
      <c r="R124" s="950"/>
      <c r="S124" s="950"/>
      <c r="T124" s="950"/>
      <c r="U124" s="950"/>
      <c r="V124" s="44"/>
      <c r="W124" s="44"/>
      <c r="X124" s="951"/>
      <c r="Y124" s="951"/>
      <c r="Z124" s="98"/>
      <c r="AA124" s="99"/>
      <c r="AB124" s="950"/>
      <c r="AC124" s="950"/>
      <c r="AD124" s="950"/>
      <c r="AE124" s="950"/>
      <c r="AI124" s="41">
        <v>55.274999999999999</v>
      </c>
      <c r="AJ124" s="41" t="s">
        <v>2828</v>
      </c>
      <c r="AK124" s="41">
        <v>7.7839999999999998</v>
      </c>
      <c r="AL124" s="41" t="s">
        <v>2830</v>
      </c>
      <c r="AM124" s="41">
        <v>1000</v>
      </c>
      <c r="AN124" s="41" t="s">
        <v>2829</v>
      </c>
      <c r="AO124" s="423">
        <v>0.43026059999999994</v>
      </c>
      <c r="AP124" s="423"/>
      <c r="AQ124" s="423"/>
      <c r="AR124" s="423"/>
      <c r="AS124" s="423"/>
      <c r="AV124" s="410"/>
      <c r="AW124" s="412"/>
    </row>
    <row r="125" spans="1:49" s="41" customFormat="1" ht="12.75" hidden="1" customHeight="1">
      <c r="A125" s="244"/>
      <c r="B125" s="245"/>
      <c r="C125" s="951"/>
      <c r="D125" s="951"/>
      <c r="E125" s="967"/>
      <c r="F125" s="967"/>
      <c r="G125" s="967"/>
      <c r="H125" s="968"/>
      <c r="I125" s="968"/>
      <c r="J125" s="968"/>
      <c r="K125" s="92"/>
      <c r="L125" s="44"/>
      <c r="M125" s="282"/>
      <c r="N125" s="969"/>
      <c r="O125" s="969"/>
      <c r="P125" s="98"/>
      <c r="Q125" s="99"/>
      <c r="R125" s="950"/>
      <c r="S125" s="950"/>
      <c r="T125" s="950"/>
      <c r="U125" s="950"/>
      <c r="V125" s="44"/>
      <c r="W125" s="44"/>
      <c r="X125" s="951"/>
      <c r="Y125" s="951"/>
      <c r="Z125" s="98"/>
      <c r="AA125" s="99"/>
      <c r="AB125" s="950"/>
      <c r="AC125" s="950"/>
      <c r="AD125" s="950"/>
      <c r="AE125" s="950"/>
      <c r="AI125" s="41">
        <v>55.274999999999999</v>
      </c>
      <c r="AJ125" s="41" t="s">
        <v>2828</v>
      </c>
      <c r="AK125" s="41">
        <v>7.7839999999999998</v>
      </c>
      <c r="AL125" s="41" t="s">
        <v>2830</v>
      </c>
      <c r="AM125" s="41">
        <v>1000</v>
      </c>
      <c r="AN125" s="41" t="s">
        <v>2829</v>
      </c>
      <c r="AO125" s="423">
        <v>0.43026059999999994</v>
      </c>
      <c r="AP125" s="423"/>
      <c r="AQ125" s="423"/>
      <c r="AR125" s="423"/>
      <c r="AS125" s="423"/>
      <c r="AV125" s="410"/>
      <c r="AW125" s="412"/>
    </row>
    <row r="126" spans="1:49" s="41" customFormat="1" ht="12.75" hidden="1" customHeight="1">
      <c r="A126" s="244"/>
      <c r="B126" s="245"/>
      <c r="C126" s="951"/>
      <c r="D126" s="951"/>
      <c r="E126" s="967"/>
      <c r="F126" s="967"/>
      <c r="G126" s="967"/>
      <c r="H126" s="968"/>
      <c r="I126" s="968"/>
      <c r="J126" s="968"/>
      <c r="K126" s="92"/>
      <c r="L126" s="44"/>
      <c r="M126" s="282"/>
      <c r="N126" s="969"/>
      <c r="O126" s="969"/>
      <c r="P126" s="98"/>
      <c r="Q126" s="99"/>
      <c r="R126" s="950"/>
      <c r="S126" s="950"/>
      <c r="T126" s="950"/>
      <c r="U126" s="950"/>
      <c r="V126" s="44"/>
      <c r="W126" s="44"/>
      <c r="X126" s="951"/>
      <c r="Y126" s="951"/>
      <c r="Z126" s="98"/>
      <c r="AA126" s="99"/>
      <c r="AB126" s="950"/>
      <c r="AC126" s="950"/>
      <c r="AD126" s="950"/>
      <c r="AE126" s="950"/>
      <c r="AI126" s="41">
        <v>55.274999999999999</v>
      </c>
      <c r="AJ126" s="41" t="s">
        <v>2828</v>
      </c>
      <c r="AK126" s="41">
        <v>7.7839999999999998</v>
      </c>
      <c r="AL126" s="41" t="s">
        <v>2830</v>
      </c>
      <c r="AM126" s="41">
        <v>1000</v>
      </c>
      <c r="AN126" s="41" t="s">
        <v>2829</v>
      </c>
      <c r="AO126" s="423">
        <v>0.43026059999999994</v>
      </c>
      <c r="AP126" s="423"/>
      <c r="AQ126" s="423"/>
      <c r="AR126" s="423"/>
      <c r="AS126" s="423"/>
      <c r="AV126" s="410"/>
      <c r="AW126" s="412"/>
    </row>
    <row r="127" spans="1:49" s="41" customFormat="1" ht="12.75" hidden="1" customHeight="1">
      <c r="A127" s="244"/>
      <c r="B127" s="245"/>
      <c r="C127" s="951"/>
      <c r="D127" s="951"/>
      <c r="E127" s="967"/>
      <c r="F127" s="967"/>
      <c r="G127" s="967"/>
      <c r="H127" s="968"/>
      <c r="I127" s="968"/>
      <c r="J127" s="968"/>
      <c r="K127" s="92"/>
      <c r="L127" s="44"/>
      <c r="M127" s="282"/>
      <c r="N127" s="969"/>
      <c r="O127" s="969"/>
      <c r="P127" s="98"/>
      <c r="Q127" s="99"/>
      <c r="R127" s="950"/>
      <c r="S127" s="950"/>
      <c r="T127" s="950"/>
      <c r="U127" s="950"/>
      <c r="V127" s="44"/>
      <c r="W127" s="44"/>
      <c r="X127" s="951"/>
      <c r="Y127" s="951"/>
      <c r="Z127" s="98"/>
      <c r="AA127" s="99"/>
      <c r="AB127" s="950"/>
      <c r="AC127" s="950"/>
      <c r="AD127" s="950"/>
      <c r="AE127" s="950"/>
      <c r="AI127" s="41">
        <v>55.274999999999999</v>
      </c>
      <c r="AJ127" s="41" t="s">
        <v>2828</v>
      </c>
      <c r="AK127" s="41">
        <v>7.7839999999999998</v>
      </c>
      <c r="AL127" s="41" t="s">
        <v>2830</v>
      </c>
      <c r="AM127" s="41">
        <v>1000</v>
      </c>
      <c r="AN127" s="41" t="s">
        <v>2829</v>
      </c>
      <c r="AO127" s="423">
        <v>0.43026059999999994</v>
      </c>
      <c r="AP127" s="423"/>
      <c r="AQ127" s="423"/>
      <c r="AR127" s="423"/>
      <c r="AS127" s="423"/>
      <c r="AV127" s="410"/>
      <c r="AW127" s="412"/>
    </row>
    <row r="128" spans="1:49" s="41" customFormat="1" ht="12.75" hidden="1" customHeight="1">
      <c r="A128" s="244"/>
      <c r="B128" s="245"/>
      <c r="C128" s="951"/>
      <c r="D128" s="951"/>
      <c r="E128" s="967"/>
      <c r="F128" s="967"/>
      <c r="G128" s="967"/>
      <c r="H128" s="968"/>
      <c r="I128" s="968"/>
      <c r="J128" s="968"/>
      <c r="K128" s="92"/>
      <c r="L128" s="44"/>
      <c r="M128" s="282"/>
      <c r="N128" s="969"/>
      <c r="O128" s="969"/>
      <c r="P128" s="98"/>
      <c r="Q128" s="99"/>
      <c r="R128" s="950"/>
      <c r="S128" s="950"/>
      <c r="T128" s="950"/>
      <c r="U128" s="950"/>
      <c r="V128" s="44"/>
      <c r="W128" s="44"/>
      <c r="X128" s="951"/>
      <c r="Y128" s="951"/>
      <c r="Z128" s="98"/>
      <c r="AA128" s="99"/>
      <c r="AB128" s="950"/>
      <c r="AC128" s="950"/>
      <c r="AD128" s="950"/>
      <c r="AE128" s="950"/>
      <c r="AI128" s="41">
        <v>55.274999999999999</v>
      </c>
      <c r="AJ128" s="41" t="s">
        <v>2828</v>
      </c>
      <c r="AK128" s="41">
        <v>7.7839999999999998</v>
      </c>
      <c r="AL128" s="41" t="s">
        <v>2830</v>
      </c>
      <c r="AM128" s="41">
        <v>1000</v>
      </c>
      <c r="AN128" s="41" t="s">
        <v>2829</v>
      </c>
      <c r="AO128" s="423">
        <v>0.43026059999999994</v>
      </c>
      <c r="AP128" s="423"/>
      <c r="AQ128" s="423"/>
      <c r="AR128" s="423"/>
      <c r="AS128" s="423"/>
      <c r="AV128" s="410"/>
      <c r="AW128" s="412"/>
    </row>
    <row r="129" spans="1:49" s="41" customFormat="1" ht="12.75" hidden="1" customHeight="1">
      <c r="A129" s="244"/>
      <c r="B129" s="245"/>
      <c r="C129" s="951"/>
      <c r="D129" s="951"/>
      <c r="E129" s="967"/>
      <c r="F129" s="967"/>
      <c r="G129" s="967"/>
      <c r="H129" s="968"/>
      <c r="I129" s="968"/>
      <c r="J129" s="968"/>
      <c r="K129" s="92"/>
      <c r="L129" s="44"/>
      <c r="M129" s="282"/>
      <c r="N129" s="969"/>
      <c r="O129" s="969"/>
      <c r="P129" s="98"/>
      <c r="Q129" s="99"/>
      <c r="R129" s="950"/>
      <c r="S129" s="950"/>
      <c r="T129" s="950"/>
      <c r="U129" s="950"/>
      <c r="V129" s="44"/>
      <c r="W129" s="44"/>
      <c r="X129" s="951"/>
      <c r="Y129" s="951"/>
      <c r="Z129" s="98"/>
      <c r="AA129" s="99"/>
      <c r="AB129" s="950"/>
      <c r="AC129" s="950"/>
      <c r="AD129" s="950"/>
      <c r="AE129" s="950"/>
      <c r="AI129" s="41">
        <v>55.274999999999999</v>
      </c>
      <c r="AJ129" s="41" t="s">
        <v>2828</v>
      </c>
      <c r="AK129" s="41">
        <v>7.7839999999999998</v>
      </c>
      <c r="AL129" s="41" t="s">
        <v>2830</v>
      </c>
      <c r="AM129" s="41">
        <v>1000</v>
      </c>
      <c r="AN129" s="41" t="s">
        <v>2829</v>
      </c>
      <c r="AO129" s="423">
        <v>0.43026059999999994</v>
      </c>
      <c r="AP129" s="423"/>
      <c r="AQ129" s="423"/>
      <c r="AR129" s="423"/>
      <c r="AS129" s="423"/>
      <c r="AV129" s="410"/>
      <c r="AW129" s="412"/>
    </row>
    <row r="130" spans="1:49" s="41" customFormat="1" ht="12.75" hidden="1" customHeight="1">
      <c r="A130" s="244"/>
      <c r="B130" s="245"/>
      <c r="C130" s="951"/>
      <c r="D130" s="951"/>
      <c r="E130" s="967"/>
      <c r="F130" s="967"/>
      <c r="G130" s="967"/>
      <c r="H130" s="968"/>
      <c r="I130" s="968"/>
      <c r="J130" s="968"/>
      <c r="K130" s="92"/>
      <c r="L130" s="44"/>
      <c r="M130" s="282"/>
      <c r="N130" s="969"/>
      <c r="O130" s="969"/>
      <c r="P130" s="98"/>
      <c r="Q130" s="99"/>
      <c r="R130" s="950"/>
      <c r="S130" s="950"/>
      <c r="T130" s="950"/>
      <c r="U130" s="950"/>
      <c r="V130" s="44"/>
      <c r="W130" s="44"/>
      <c r="X130" s="951"/>
      <c r="Y130" s="951"/>
      <c r="Z130" s="98"/>
      <c r="AA130" s="99"/>
      <c r="AB130" s="950"/>
      <c r="AC130" s="950"/>
      <c r="AD130" s="950"/>
      <c r="AE130" s="950"/>
      <c r="AI130" s="41">
        <v>55.274999999999999</v>
      </c>
      <c r="AJ130" s="41" t="s">
        <v>2828</v>
      </c>
      <c r="AK130" s="41">
        <v>7.7839999999999998</v>
      </c>
      <c r="AL130" s="41" t="s">
        <v>2830</v>
      </c>
      <c r="AM130" s="41">
        <v>1000</v>
      </c>
      <c r="AN130" s="41" t="s">
        <v>2829</v>
      </c>
      <c r="AO130" s="423">
        <v>0.43026059999999994</v>
      </c>
      <c r="AP130" s="423"/>
      <c r="AQ130" s="423"/>
      <c r="AR130" s="423"/>
      <c r="AS130" s="423"/>
      <c r="AV130" s="410"/>
      <c r="AW130" s="412"/>
    </row>
    <row r="131" spans="1:49" s="41" customFormat="1" ht="12.75" hidden="1" customHeight="1">
      <c r="A131" s="244"/>
      <c r="B131" s="245"/>
      <c r="C131" s="951"/>
      <c r="D131" s="951"/>
      <c r="E131" s="967"/>
      <c r="F131" s="967"/>
      <c r="G131" s="967"/>
      <c r="H131" s="968"/>
      <c r="I131" s="968"/>
      <c r="J131" s="968"/>
      <c r="K131" s="92"/>
      <c r="L131" s="44"/>
      <c r="M131" s="282"/>
      <c r="N131" s="969"/>
      <c r="O131" s="969"/>
      <c r="P131" s="98"/>
      <c r="Q131" s="99"/>
      <c r="R131" s="950"/>
      <c r="S131" s="950"/>
      <c r="T131" s="950"/>
      <c r="U131" s="950"/>
      <c r="V131" s="44"/>
      <c r="W131" s="44"/>
      <c r="X131" s="951"/>
      <c r="Y131" s="951"/>
      <c r="Z131" s="98"/>
      <c r="AA131" s="99"/>
      <c r="AB131" s="950"/>
      <c r="AC131" s="950"/>
      <c r="AD131" s="950"/>
      <c r="AE131" s="950"/>
      <c r="AI131" s="41">
        <v>55.274999999999999</v>
      </c>
      <c r="AJ131" s="41" t="s">
        <v>2828</v>
      </c>
      <c r="AK131" s="41">
        <v>7.7839999999999998</v>
      </c>
      <c r="AL131" s="41" t="s">
        <v>2830</v>
      </c>
      <c r="AM131" s="41">
        <v>1000</v>
      </c>
      <c r="AN131" s="41" t="s">
        <v>2829</v>
      </c>
      <c r="AO131" s="423">
        <v>0.43026059999999994</v>
      </c>
      <c r="AP131" s="423"/>
      <c r="AQ131" s="423"/>
      <c r="AR131" s="423"/>
      <c r="AS131" s="423"/>
      <c r="AV131" s="410"/>
      <c r="AW131" s="412"/>
    </row>
    <row r="132" spans="1:49" s="41" customFormat="1" ht="12.75" hidden="1" customHeight="1">
      <c r="A132" s="244"/>
      <c r="B132" s="245"/>
      <c r="C132" s="951"/>
      <c r="D132" s="951"/>
      <c r="E132" s="967"/>
      <c r="F132" s="967"/>
      <c r="G132" s="967"/>
      <c r="H132" s="968"/>
      <c r="I132" s="968"/>
      <c r="J132" s="968"/>
      <c r="K132" s="92"/>
      <c r="L132" s="44"/>
      <c r="M132" s="282"/>
      <c r="N132" s="969"/>
      <c r="O132" s="969"/>
      <c r="P132" s="98"/>
      <c r="Q132" s="99"/>
      <c r="R132" s="950"/>
      <c r="S132" s="950"/>
      <c r="T132" s="950"/>
      <c r="U132" s="950"/>
      <c r="V132" s="44"/>
      <c r="W132" s="44"/>
      <c r="X132" s="951"/>
      <c r="Y132" s="951"/>
      <c r="Z132" s="98"/>
      <c r="AA132" s="99"/>
      <c r="AB132" s="950"/>
      <c r="AC132" s="950"/>
      <c r="AD132" s="950"/>
      <c r="AE132" s="950"/>
      <c r="AI132" s="41">
        <v>55.274999999999999</v>
      </c>
      <c r="AJ132" s="41" t="s">
        <v>2828</v>
      </c>
      <c r="AK132" s="41">
        <v>7.7839999999999998</v>
      </c>
      <c r="AL132" s="41" t="s">
        <v>2830</v>
      </c>
      <c r="AM132" s="41">
        <v>1000</v>
      </c>
      <c r="AN132" s="41" t="s">
        <v>2829</v>
      </c>
      <c r="AO132" s="423">
        <v>0.43026059999999994</v>
      </c>
      <c r="AP132" s="423"/>
      <c r="AQ132" s="423"/>
      <c r="AR132" s="423"/>
      <c r="AS132" s="423"/>
      <c r="AV132" s="410"/>
      <c r="AW132" s="412"/>
    </row>
    <row r="133" spans="1:49" s="41" customFormat="1" ht="12.75" hidden="1" customHeight="1">
      <c r="A133" s="244"/>
      <c r="B133" s="245"/>
      <c r="C133" s="951"/>
      <c r="D133" s="951"/>
      <c r="E133" s="967"/>
      <c r="F133" s="967"/>
      <c r="G133" s="967"/>
      <c r="H133" s="968"/>
      <c r="I133" s="968"/>
      <c r="J133" s="968"/>
      <c r="K133" s="92"/>
      <c r="L133" s="44"/>
      <c r="M133" s="282"/>
      <c r="N133" s="969"/>
      <c r="O133" s="969"/>
      <c r="P133" s="98"/>
      <c r="Q133" s="99"/>
      <c r="R133" s="950"/>
      <c r="S133" s="950"/>
      <c r="T133" s="950"/>
      <c r="U133" s="950"/>
      <c r="V133" s="44"/>
      <c r="W133" s="44"/>
      <c r="X133" s="951"/>
      <c r="Y133" s="951"/>
      <c r="Z133" s="98"/>
      <c r="AA133" s="99"/>
      <c r="AB133" s="950"/>
      <c r="AC133" s="950"/>
      <c r="AD133" s="950"/>
      <c r="AE133" s="950"/>
      <c r="AI133" s="41">
        <v>55.274999999999999</v>
      </c>
      <c r="AJ133" s="41" t="s">
        <v>2828</v>
      </c>
      <c r="AK133" s="41">
        <v>7.7839999999999998</v>
      </c>
      <c r="AL133" s="41" t="s">
        <v>2830</v>
      </c>
      <c r="AM133" s="41">
        <v>1000</v>
      </c>
      <c r="AN133" s="41" t="s">
        <v>2829</v>
      </c>
      <c r="AO133" s="423">
        <v>0.43026059999999994</v>
      </c>
      <c r="AP133" s="423"/>
      <c r="AQ133" s="423"/>
      <c r="AR133" s="423"/>
      <c r="AS133" s="423"/>
      <c r="AV133" s="410"/>
      <c r="AW133" s="412"/>
    </row>
    <row r="134" spans="1:49" s="41" customFormat="1" ht="12.75" hidden="1" customHeight="1">
      <c r="A134" s="244"/>
      <c r="B134" s="245"/>
      <c r="C134" s="951"/>
      <c r="D134" s="951"/>
      <c r="E134" s="967"/>
      <c r="F134" s="967"/>
      <c r="G134" s="967"/>
      <c r="H134" s="968"/>
      <c r="I134" s="968"/>
      <c r="J134" s="968"/>
      <c r="K134" s="92"/>
      <c r="L134" s="44"/>
      <c r="M134" s="282"/>
      <c r="N134" s="969"/>
      <c r="O134" s="969"/>
      <c r="P134" s="98"/>
      <c r="Q134" s="99"/>
      <c r="R134" s="950"/>
      <c r="S134" s="950"/>
      <c r="T134" s="950"/>
      <c r="U134" s="950"/>
      <c r="V134" s="44"/>
      <c r="W134" s="44"/>
      <c r="X134" s="951"/>
      <c r="Y134" s="951"/>
      <c r="Z134" s="98"/>
      <c r="AA134" s="99"/>
      <c r="AB134" s="950"/>
      <c r="AC134" s="950"/>
      <c r="AD134" s="950"/>
      <c r="AE134" s="950"/>
      <c r="AI134" s="41">
        <v>55.274999999999999</v>
      </c>
      <c r="AJ134" s="41" t="s">
        <v>2828</v>
      </c>
      <c r="AK134" s="41">
        <v>7.7839999999999998</v>
      </c>
      <c r="AL134" s="41" t="s">
        <v>2830</v>
      </c>
      <c r="AM134" s="41">
        <v>1000</v>
      </c>
      <c r="AN134" s="41" t="s">
        <v>2829</v>
      </c>
      <c r="AO134" s="423">
        <v>0.43026059999999994</v>
      </c>
      <c r="AP134" s="423"/>
      <c r="AQ134" s="423"/>
      <c r="AR134" s="423"/>
      <c r="AS134" s="423"/>
      <c r="AV134" s="410"/>
      <c r="AW134" s="412"/>
    </row>
    <row r="135" spans="1:49" s="41" customFormat="1" ht="12.75" hidden="1" customHeight="1">
      <c r="A135" s="244"/>
      <c r="B135" s="245"/>
      <c r="C135" s="951"/>
      <c r="D135" s="951"/>
      <c r="E135" s="967"/>
      <c r="F135" s="967"/>
      <c r="G135" s="967"/>
      <c r="H135" s="968"/>
      <c r="I135" s="968"/>
      <c r="J135" s="968"/>
      <c r="K135" s="92"/>
      <c r="L135" s="44"/>
      <c r="M135" s="282"/>
      <c r="N135" s="969"/>
      <c r="O135" s="969"/>
      <c r="P135" s="98"/>
      <c r="Q135" s="99"/>
      <c r="R135" s="950"/>
      <c r="S135" s="950"/>
      <c r="T135" s="950"/>
      <c r="U135" s="950"/>
      <c r="V135" s="44"/>
      <c r="W135" s="44"/>
      <c r="X135" s="951"/>
      <c r="Y135" s="951"/>
      <c r="Z135" s="98"/>
      <c r="AA135" s="99"/>
      <c r="AB135" s="950"/>
      <c r="AC135" s="950"/>
      <c r="AD135" s="950"/>
      <c r="AE135" s="950"/>
      <c r="AI135" s="41">
        <v>55.274999999999999</v>
      </c>
      <c r="AJ135" s="41" t="s">
        <v>2828</v>
      </c>
      <c r="AK135" s="41">
        <v>7.7839999999999998</v>
      </c>
      <c r="AL135" s="41" t="s">
        <v>2830</v>
      </c>
      <c r="AM135" s="41">
        <v>1000</v>
      </c>
      <c r="AN135" s="41" t="s">
        <v>2829</v>
      </c>
      <c r="AO135" s="423">
        <v>0.43026059999999994</v>
      </c>
      <c r="AP135" s="423"/>
      <c r="AQ135" s="423"/>
      <c r="AR135" s="423"/>
      <c r="AS135" s="423"/>
      <c r="AV135" s="410"/>
      <c r="AW135" s="412"/>
    </row>
    <row r="136" spans="1:49" s="41" customFormat="1" ht="12.75" hidden="1" customHeight="1">
      <c r="A136" s="244"/>
      <c r="B136" s="245"/>
      <c r="C136" s="951"/>
      <c r="D136" s="951"/>
      <c r="E136" s="967"/>
      <c r="F136" s="967"/>
      <c r="G136" s="967"/>
      <c r="H136" s="968"/>
      <c r="I136" s="968"/>
      <c r="J136" s="968"/>
      <c r="K136" s="92"/>
      <c r="L136" s="44"/>
      <c r="M136" s="282"/>
      <c r="N136" s="969"/>
      <c r="O136" s="969"/>
      <c r="P136" s="98"/>
      <c r="Q136" s="99"/>
      <c r="R136" s="950"/>
      <c r="S136" s="950"/>
      <c r="T136" s="950"/>
      <c r="U136" s="950"/>
      <c r="V136" s="44"/>
      <c r="W136" s="44"/>
      <c r="X136" s="951"/>
      <c r="Y136" s="951"/>
      <c r="Z136" s="98"/>
      <c r="AA136" s="99"/>
      <c r="AB136" s="950"/>
      <c r="AC136" s="950"/>
      <c r="AD136" s="950"/>
      <c r="AE136" s="950"/>
      <c r="AI136" s="41">
        <v>55.274999999999999</v>
      </c>
      <c r="AJ136" s="41" t="s">
        <v>2828</v>
      </c>
      <c r="AK136" s="41">
        <v>7.7839999999999998</v>
      </c>
      <c r="AL136" s="41" t="s">
        <v>2830</v>
      </c>
      <c r="AM136" s="41">
        <v>1000</v>
      </c>
      <c r="AN136" s="41" t="s">
        <v>2829</v>
      </c>
      <c r="AO136" s="423">
        <v>0.43026059999999994</v>
      </c>
      <c r="AP136" s="423"/>
      <c r="AQ136" s="423"/>
      <c r="AR136" s="423"/>
      <c r="AS136" s="423"/>
      <c r="AV136" s="410"/>
      <c r="AW136" s="412"/>
    </row>
    <row r="137" spans="1:49" s="41" customFormat="1" ht="12.75" hidden="1" customHeight="1">
      <c r="A137" s="244"/>
      <c r="B137" s="245"/>
      <c r="C137" s="951"/>
      <c r="D137" s="951"/>
      <c r="E137" s="967"/>
      <c r="F137" s="967"/>
      <c r="G137" s="967"/>
      <c r="H137" s="968"/>
      <c r="I137" s="968"/>
      <c r="J137" s="968"/>
      <c r="K137" s="92"/>
      <c r="L137" s="44"/>
      <c r="M137" s="282"/>
      <c r="N137" s="969"/>
      <c r="O137" s="969"/>
      <c r="P137" s="98"/>
      <c r="Q137" s="99"/>
      <c r="R137" s="950"/>
      <c r="S137" s="950"/>
      <c r="T137" s="950"/>
      <c r="U137" s="950"/>
      <c r="V137" s="44"/>
      <c r="W137" s="44"/>
      <c r="X137" s="951"/>
      <c r="Y137" s="951"/>
      <c r="Z137" s="98"/>
      <c r="AA137" s="99"/>
      <c r="AB137" s="950"/>
      <c r="AC137" s="950"/>
      <c r="AD137" s="950"/>
      <c r="AE137" s="950"/>
      <c r="AI137" s="41">
        <v>55.274999999999999</v>
      </c>
      <c r="AJ137" s="41" t="s">
        <v>2828</v>
      </c>
      <c r="AK137" s="41">
        <v>7.7839999999999998</v>
      </c>
      <c r="AL137" s="41" t="s">
        <v>2830</v>
      </c>
      <c r="AM137" s="41">
        <v>1000</v>
      </c>
      <c r="AN137" s="41" t="s">
        <v>2829</v>
      </c>
      <c r="AO137" s="423">
        <v>0.43026059999999994</v>
      </c>
      <c r="AP137" s="423"/>
      <c r="AQ137" s="423"/>
      <c r="AR137" s="423"/>
      <c r="AS137" s="423"/>
      <c r="AV137" s="410"/>
      <c r="AW137" s="412"/>
    </row>
    <row r="138" spans="1:49" s="41" customFormat="1" ht="12.75" hidden="1" customHeight="1">
      <c r="A138" s="244"/>
      <c r="B138" s="245"/>
      <c r="C138" s="951"/>
      <c r="D138" s="951"/>
      <c r="E138" s="967"/>
      <c r="F138" s="967"/>
      <c r="G138" s="967"/>
      <c r="H138" s="968"/>
      <c r="I138" s="968"/>
      <c r="J138" s="968"/>
      <c r="K138" s="92"/>
      <c r="L138" s="44"/>
      <c r="M138" s="282"/>
      <c r="N138" s="969"/>
      <c r="O138" s="969"/>
      <c r="P138" s="98"/>
      <c r="Q138" s="99"/>
      <c r="R138" s="950"/>
      <c r="S138" s="950"/>
      <c r="T138" s="950"/>
      <c r="U138" s="950"/>
      <c r="V138" s="44"/>
      <c r="W138" s="44"/>
      <c r="X138" s="951"/>
      <c r="Y138" s="951"/>
      <c r="Z138" s="98"/>
      <c r="AA138" s="99"/>
      <c r="AB138" s="950"/>
      <c r="AC138" s="950"/>
      <c r="AD138" s="950"/>
      <c r="AE138" s="950"/>
      <c r="AI138" s="41">
        <v>55.274999999999999</v>
      </c>
      <c r="AJ138" s="41" t="s">
        <v>2828</v>
      </c>
      <c r="AK138" s="41">
        <v>7.7839999999999998</v>
      </c>
      <c r="AL138" s="41" t="s">
        <v>2830</v>
      </c>
      <c r="AM138" s="41">
        <v>1000</v>
      </c>
      <c r="AN138" s="41" t="s">
        <v>2829</v>
      </c>
      <c r="AO138" s="423">
        <v>0.43026059999999994</v>
      </c>
      <c r="AP138" s="423"/>
      <c r="AQ138" s="423"/>
      <c r="AR138" s="423"/>
      <c r="AS138" s="423"/>
      <c r="AV138" s="410"/>
      <c r="AW138" s="412"/>
    </row>
    <row r="139" spans="1:49" s="41" customFormat="1" ht="12.75" hidden="1" customHeight="1">
      <c r="A139" s="244"/>
      <c r="B139" s="245"/>
      <c r="C139" s="951"/>
      <c r="D139" s="951"/>
      <c r="E139" s="967"/>
      <c r="F139" s="967"/>
      <c r="G139" s="967"/>
      <c r="H139" s="968"/>
      <c r="I139" s="968"/>
      <c r="J139" s="968"/>
      <c r="K139" s="92"/>
      <c r="L139" s="44"/>
      <c r="M139" s="282"/>
      <c r="N139" s="969"/>
      <c r="O139" s="969"/>
      <c r="P139" s="98"/>
      <c r="Q139" s="99"/>
      <c r="R139" s="950"/>
      <c r="S139" s="950"/>
      <c r="T139" s="950"/>
      <c r="U139" s="950"/>
      <c r="V139" s="44"/>
      <c r="W139" s="44"/>
      <c r="X139" s="951"/>
      <c r="Y139" s="951"/>
      <c r="Z139" s="98"/>
      <c r="AA139" s="99"/>
      <c r="AB139" s="950"/>
      <c r="AC139" s="950"/>
      <c r="AD139" s="950"/>
      <c r="AE139" s="950"/>
      <c r="AI139" s="41">
        <v>55.274999999999999</v>
      </c>
      <c r="AJ139" s="41" t="s">
        <v>2828</v>
      </c>
      <c r="AK139" s="41">
        <v>7.7839999999999998</v>
      </c>
      <c r="AL139" s="41" t="s">
        <v>2830</v>
      </c>
      <c r="AM139" s="41">
        <v>1000</v>
      </c>
      <c r="AN139" s="41" t="s">
        <v>2829</v>
      </c>
      <c r="AO139" s="423">
        <v>0.43026059999999994</v>
      </c>
      <c r="AP139" s="423"/>
      <c r="AQ139" s="423"/>
      <c r="AR139" s="423"/>
      <c r="AS139" s="423"/>
      <c r="AV139" s="410"/>
      <c r="AW139" s="412"/>
    </row>
    <row r="140" spans="1:49" s="41" customFormat="1" ht="12.75" hidden="1" customHeight="1">
      <c r="A140" s="244"/>
      <c r="B140" s="245"/>
      <c r="C140" s="951"/>
      <c r="D140" s="951"/>
      <c r="E140" s="967"/>
      <c r="F140" s="967"/>
      <c r="G140" s="967"/>
      <c r="H140" s="968"/>
      <c r="I140" s="968"/>
      <c r="J140" s="968"/>
      <c r="K140" s="92"/>
      <c r="L140" s="44"/>
      <c r="M140" s="282"/>
      <c r="N140" s="969"/>
      <c r="O140" s="969"/>
      <c r="P140" s="98"/>
      <c r="Q140" s="99"/>
      <c r="R140" s="950"/>
      <c r="S140" s="950"/>
      <c r="T140" s="950"/>
      <c r="U140" s="950"/>
      <c r="V140" s="44"/>
      <c r="W140" s="44"/>
      <c r="X140" s="951"/>
      <c r="Y140" s="951"/>
      <c r="Z140" s="98"/>
      <c r="AA140" s="99"/>
      <c r="AB140" s="950"/>
      <c r="AC140" s="950"/>
      <c r="AD140" s="950"/>
      <c r="AE140" s="950"/>
      <c r="AI140" s="41">
        <v>55.274999999999999</v>
      </c>
      <c r="AJ140" s="41" t="s">
        <v>2828</v>
      </c>
      <c r="AK140" s="41">
        <v>7.7839999999999998</v>
      </c>
      <c r="AL140" s="41" t="s">
        <v>2830</v>
      </c>
      <c r="AM140" s="41">
        <v>1000</v>
      </c>
      <c r="AN140" s="41" t="s">
        <v>2829</v>
      </c>
      <c r="AO140" s="423">
        <v>0.43026059999999994</v>
      </c>
      <c r="AP140" s="423"/>
      <c r="AQ140" s="423"/>
      <c r="AR140" s="423"/>
      <c r="AS140" s="423"/>
      <c r="AV140" s="410"/>
      <c r="AW140" s="412"/>
    </row>
    <row r="141" spans="1:49" s="41" customFormat="1" ht="12.75" hidden="1" customHeight="1">
      <c r="A141" s="244"/>
      <c r="B141" s="245"/>
      <c r="C141" s="951"/>
      <c r="D141" s="951"/>
      <c r="E141" s="967"/>
      <c r="F141" s="967"/>
      <c r="G141" s="967"/>
      <c r="H141" s="968"/>
      <c r="I141" s="968"/>
      <c r="J141" s="968"/>
      <c r="K141" s="92"/>
      <c r="L141" s="44"/>
      <c r="M141" s="282"/>
      <c r="N141" s="969"/>
      <c r="O141" s="969"/>
      <c r="P141" s="98"/>
      <c r="Q141" s="99"/>
      <c r="R141" s="950"/>
      <c r="S141" s="950"/>
      <c r="T141" s="950"/>
      <c r="U141" s="950"/>
      <c r="V141" s="44"/>
      <c r="W141" s="44"/>
      <c r="X141" s="951"/>
      <c r="Y141" s="951"/>
      <c r="Z141" s="98"/>
      <c r="AA141" s="99"/>
      <c r="AB141" s="950"/>
      <c r="AC141" s="950"/>
      <c r="AD141" s="950"/>
      <c r="AE141" s="950"/>
      <c r="AI141" s="41">
        <v>55.274999999999999</v>
      </c>
      <c r="AJ141" s="41" t="s">
        <v>2828</v>
      </c>
      <c r="AK141" s="41">
        <v>7.7839999999999998</v>
      </c>
      <c r="AL141" s="41" t="s">
        <v>2830</v>
      </c>
      <c r="AM141" s="41">
        <v>1000</v>
      </c>
      <c r="AN141" s="41" t="s">
        <v>2829</v>
      </c>
      <c r="AO141" s="423">
        <v>0.43026059999999994</v>
      </c>
      <c r="AP141" s="423"/>
      <c r="AQ141" s="423"/>
      <c r="AR141" s="423"/>
      <c r="AS141" s="423"/>
      <c r="AV141" s="410"/>
      <c r="AW141" s="412"/>
    </row>
    <row r="142" spans="1:49" s="41" customFormat="1" ht="12.75" hidden="1" customHeight="1">
      <c r="A142" s="244"/>
      <c r="B142" s="245"/>
      <c r="C142" s="951"/>
      <c r="D142" s="951"/>
      <c r="E142" s="967"/>
      <c r="F142" s="967"/>
      <c r="G142" s="967"/>
      <c r="H142" s="968"/>
      <c r="I142" s="968"/>
      <c r="J142" s="968"/>
      <c r="K142" s="92"/>
      <c r="L142" s="44"/>
      <c r="M142" s="282"/>
      <c r="N142" s="969"/>
      <c r="O142" s="969"/>
      <c r="P142" s="98"/>
      <c r="Q142" s="99"/>
      <c r="R142" s="950"/>
      <c r="S142" s="950"/>
      <c r="T142" s="950"/>
      <c r="U142" s="950"/>
      <c r="V142" s="44"/>
      <c r="W142" s="44"/>
      <c r="X142" s="951"/>
      <c r="Y142" s="951"/>
      <c r="Z142" s="98"/>
      <c r="AA142" s="99"/>
      <c r="AB142" s="950"/>
      <c r="AC142" s="950"/>
      <c r="AD142" s="950"/>
      <c r="AE142" s="950"/>
      <c r="AI142" s="41">
        <v>55.274999999999999</v>
      </c>
      <c r="AJ142" s="41" t="s">
        <v>2828</v>
      </c>
      <c r="AK142" s="41">
        <v>7.7839999999999998</v>
      </c>
      <c r="AL142" s="41" t="s">
        <v>2830</v>
      </c>
      <c r="AM142" s="41">
        <v>1000</v>
      </c>
      <c r="AN142" s="41" t="s">
        <v>2829</v>
      </c>
      <c r="AO142" s="423">
        <v>0.43026059999999994</v>
      </c>
      <c r="AP142" s="423"/>
      <c r="AQ142" s="423"/>
      <c r="AR142" s="423"/>
      <c r="AS142" s="423"/>
      <c r="AV142" s="410"/>
      <c r="AW142" s="412"/>
    </row>
    <row r="143" spans="1:49" s="41" customFormat="1" ht="12.75" hidden="1" customHeight="1">
      <c r="A143" s="244"/>
      <c r="B143" s="245"/>
      <c r="C143" s="951"/>
      <c r="D143" s="951"/>
      <c r="E143" s="967"/>
      <c r="F143" s="967"/>
      <c r="G143" s="967"/>
      <c r="H143" s="968"/>
      <c r="I143" s="968"/>
      <c r="J143" s="968"/>
      <c r="K143" s="92"/>
      <c r="L143" s="44"/>
      <c r="M143" s="282"/>
      <c r="N143" s="969"/>
      <c r="O143" s="969"/>
      <c r="P143" s="98"/>
      <c r="Q143" s="99"/>
      <c r="R143" s="950"/>
      <c r="S143" s="950"/>
      <c r="T143" s="950"/>
      <c r="U143" s="950"/>
      <c r="V143" s="44"/>
      <c r="W143" s="44"/>
      <c r="X143" s="951"/>
      <c r="Y143" s="951"/>
      <c r="Z143" s="98"/>
      <c r="AA143" s="99"/>
      <c r="AB143" s="950"/>
      <c r="AC143" s="950"/>
      <c r="AD143" s="950"/>
      <c r="AE143" s="950"/>
      <c r="AI143" s="41">
        <v>55.274999999999999</v>
      </c>
      <c r="AJ143" s="41" t="s">
        <v>2828</v>
      </c>
      <c r="AK143" s="41">
        <v>7.7839999999999998</v>
      </c>
      <c r="AL143" s="41" t="s">
        <v>2830</v>
      </c>
      <c r="AM143" s="41">
        <v>1000</v>
      </c>
      <c r="AN143" s="41" t="s">
        <v>2829</v>
      </c>
      <c r="AO143" s="423">
        <v>0.43026059999999994</v>
      </c>
      <c r="AP143" s="423"/>
      <c r="AQ143" s="423"/>
      <c r="AR143" s="423"/>
      <c r="AS143" s="423"/>
      <c r="AV143" s="410"/>
      <c r="AW143" s="412"/>
    </row>
    <row r="144" spans="1:49" s="41" customFormat="1" ht="12.75" hidden="1" customHeight="1">
      <c r="A144" s="244"/>
      <c r="B144" s="245"/>
      <c r="C144" s="951"/>
      <c r="D144" s="951"/>
      <c r="E144" s="967"/>
      <c r="F144" s="967"/>
      <c r="G144" s="967"/>
      <c r="H144" s="968"/>
      <c r="I144" s="968"/>
      <c r="J144" s="968"/>
      <c r="K144" s="92"/>
      <c r="L144" s="44"/>
      <c r="M144" s="282"/>
      <c r="N144" s="969"/>
      <c r="O144" s="969"/>
      <c r="P144" s="98"/>
      <c r="Q144" s="99"/>
      <c r="R144" s="950"/>
      <c r="S144" s="950"/>
      <c r="T144" s="950"/>
      <c r="U144" s="950"/>
      <c r="V144" s="44"/>
      <c r="W144" s="44"/>
      <c r="X144" s="951"/>
      <c r="Y144" s="951"/>
      <c r="Z144" s="98"/>
      <c r="AA144" s="99"/>
      <c r="AB144" s="950"/>
      <c r="AC144" s="950"/>
      <c r="AD144" s="950"/>
      <c r="AE144" s="950"/>
      <c r="AI144" s="41">
        <v>55.274999999999999</v>
      </c>
      <c r="AJ144" s="41" t="s">
        <v>2828</v>
      </c>
      <c r="AK144" s="41">
        <v>7.7839999999999998</v>
      </c>
      <c r="AL144" s="41" t="s">
        <v>2830</v>
      </c>
      <c r="AM144" s="41">
        <v>1000</v>
      </c>
      <c r="AN144" s="41" t="s">
        <v>2829</v>
      </c>
      <c r="AO144" s="423">
        <v>0.43026059999999994</v>
      </c>
      <c r="AP144" s="423"/>
      <c r="AQ144" s="423"/>
      <c r="AR144" s="423"/>
      <c r="AS144" s="423"/>
      <c r="AV144" s="410"/>
      <c r="AW144" s="412"/>
    </row>
    <row r="145" spans="1:49" s="41" customFormat="1" ht="12.75" hidden="1" customHeight="1">
      <c r="A145" s="244"/>
      <c r="B145" s="245"/>
      <c r="C145" s="951"/>
      <c r="D145" s="951"/>
      <c r="E145" s="967"/>
      <c r="F145" s="967"/>
      <c r="G145" s="967"/>
      <c r="H145" s="968"/>
      <c r="I145" s="968"/>
      <c r="J145" s="968"/>
      <c r="K145" s="92"/>
      <c r="L145" s="44"/>
      <c r="M145" s="282"/>
      <c r="N145" s="969"/>
      <c r="O145" s="969"/>
      <c r="P145" s="98"/>
      <c r="Q145" s="99"/>
      <c r="R145" s="950"/>
      <c r="S145" s="950"/>
      <c r="T145" s="950"/>
      <c r="U145" s="950"/>
      <c r="V145" s="44"/>
      <c r="W145" s="44"/>
      <c r="X145" s="951"/>
      <c r="Y145" s="951"/>
      <c r="Z145" s="98"/>
      <c r="AA145" s="99"/>
      <c r="AB145" s="950"/>
      <c r="AC145" s="950"/>
      <c r="AD145" s="950"/>
      <c r="AE145" s="950"/>
      <c r="AI145" s="41">
        <v>55.274999999999999</v>
      </c>
      <c r="AJ145" s="41" t="s">
        <v>2828</v>
      </c>
      <c r="AK145" s="41">
        <v>7.7839999999999998</v>
      </c>
      <c r="AL145" s="41" t="s">
        <v>2830</v>
      </c>
      <c r="AM145" s="41">
        <v>1000</v>
      </c>
      <c r="AN145" s="41" t="s">
        <v>2829</v>
      </c>
      <c r="AO145" s="423">
        <v>0.43026059999999994</v>
      </c>
      <c r="AP145" s="423"/>
      <c r="AQ145" s="423"/>
      <c r="AR145" s="423"/>
      <c r="AS145" s="423"/>
      <c r="AV145" s="410"/>
      <c r="AW145" s="412"/>
    </row>
    <row r="146" spans="1:49" s="41" customFormat="1" ht="12.75" hidden="1" customHeight="1">
      <c r="A146" s="244"/>
      <c r="B146" s="245"/>
      <c r="C146" s="951"/>
      <c r="D146" s="951"/>
      <c r="E146" s="967"/>
      <c r="F146" s="967"/>
      <c r="G146" s="967"/>
      <c r="H146" s="968"/>
      <c r="I146" s="968"/>
      <c r="J146" s="968"/>
      <c r="K146" s="92"/>
      <c r="L146" s="44"/>
      <c r="M146" s="282"/>
      <c r="N146" s="969"/>
      <c r="O146" s="969"/>
      <c r="P146" s="98"/>
      <c r="Q146" s="99"/>
      <c r="R146" s="950"/>
      <c r="S146" s="950"/>
      <c r="T146" s="950"/>
      <c r="U146" s="950"/>
      <c r="V146" s="44"/>
      <c r="W146" s="44"/>
      <c r="X146" s="951"/>
      <c r="Y146" s="951"/>
      <c r="Z146" s="98"/>
      <c r="AA146" s="99"/>
      <c r="AB146" s="950"/>
      <c r="AC146" s="950"/>
      <c r="AD146" s="950"/>
      <c r="AE146" s="950"/>
      <c r="AI146" s="41">
        <v>55.274999999999999</v>
      </c>
      <c r="AJ146" s="41" t="s">
        <v>2828</v>
      </c>
      <c r="AK146" s="41">
        <v>7.7839999999999998</v>
      </c>
      <c r="AL146" s="41" t="s">
        <v>2830</v>
      </c>
      <c r="AM146" s="41">
        <v>1000</v>
      </c>
      <c r="AN146" s="41" t="s">
        <v>2829</v>
      </c>
      <c r="AO146" s="423">
        <v>0.43026059999999994</v>
      </c>
      <c r="AP146" s="423"/>
      <c r="AQ146" s="423"/>
      <c r="AR146" s="423"/>
      <c r="AS146" s="423"/>
      <c r="AV146" s="410"/>
      <c r="AW146" s="412"/>
    </row>
    <row r="147" spans="1:49" s="41" customFormat="1" ht="12.75" hidden="1" customHeight="1">
      <c r="A147" s="244"/>
      <c r="B147" s="245"/>
      <c r="C147" s="951"/>
      <c r="D147" s="951"/>
      <c r="E147" s="967"/>
      <c r="F147" s="967"/>
      <c r="G147" s="967"/>
      <c r="H147" s="968"/>
      <c r="I147" s="968"/>
      <c r="J147" s="968"/>
      <c r="K147" s="92"/>
      <c r="L147" s="44"/>
      <c r="M147" s="282"/>
      <c r="N147" s="969"/>
      <c r="O147" s="969"/>
      <c r="P147" s="98"/>
      <c r="Q147" s="99"/>
      <c r="R147" s="950"/>
      <c r="S147" s="950"/>
      <c r="T147" s="950"/>
      <c r="U147" s="950"/>
      <c r="V147" s="44"/>
      <c r="W147" s="44"/>
      <c r="X147" s="951"/>
      <c r="Y147" s="951"/>
      <c r="Z147" s="98"/>
      <c r="AA147" s="99"/>
      <c r="AB147" s="950"/>
      <c r="AC147" s="950"/>
      <c r="AD147" s="950"/>
      <c r="AE147" s="950"/>
      <c r="AI147" s="41">
        <v>55.274999999999999</v>
      </c>
      <c r="AJ147" s="41" t="s">
        <v>2828</v>
      </c>
      <c r="AK147" s="41">
        <v>7.7839999999999998</v>
      </c>
      <c r="AL147" s="41" t="s">
        <v>2830</v>
      </c>
      <c r="AM147" s="41">
        <v>1000</v>
      </c>
      <c r="AN147" s="41" t="s">
        <v>2829</v>
      </c>
      <c r="AO147" s="423">
        <v>0.43026059999999994</v>
      </c>
      <c r="AP147" s="423"/>
      <c r="AQ147" s="423"/>
      <c r="AR147" s="423"/>
      <c r="AS147" s="423"/>
      <c r="AV147" s="410"/>
      <c r="AW147" s="412"/>
    </row>
    <row r="148" spans="1:49" s="41" customFormat="1" ht="12.75" hidden="1" customHeight="1">
      <c r="A148" s="244"/>
      <c r="B148" s="245"/>
      <c r="C148" s="951"/>
      <c r="D148" s="951"/>
      <c r="E148" s="967"/>
      <c r="F148" s="967"/>
      <c r="G148" s="967"/>
      <c r="H148" s="968"/>
      <c r="I148" s="968"/>
      <c r="J148" s="968"/>
      <c r="K148" s="92"/>
      <c r="L148" s="44"/>
      <c r="M148" s="282"/>
      <c r="N148" s="969"/>
      <c r="O148" s="969"/>
      <c r="P148" s="98"/>
      <c r="Q148" s="99"/>
      <c r="R148" s="950"/>
      <c r="S148" s="950"/>
      <c r="T148" s="950"/>
      <c r="U148" s="950"/>
      <c r="V148" s="44"/>
      <c r="W148" s="44"/>
      <c r="X148" s="951"/>
      <c r="Y148" s="951"/>
      <c r="Z148" s="98"/>
      <c r="AA148" s="99"/>
      <c r="AB148" s="950"/>
      <c r="AC148" s="950"/>
      <c r="AD148" s="950"/>
      <c r="AE148" s="950"/>
      <c r="AI148" s="41">
        <v>55.274999999999999</v>
      </c>
      <c r="AJ148" s="41" t="s">
        <v>2828</v>
      </c>
      <c r="AK148" s="41">
        <v>7.7839999999999998</v>
      </c>
      <c r="AL148" s="41" t="s">
        <v>2830</v>
      </c>
      <c r="AM148" s="41">
        <v>1000</v>
      </c>
      <c r="AN148" s="41" t="s">
        <v>2829</v>
      </c>
      <c r="AO148" s="423">
        <v>0.43026059999999994</v>
      </c>
      <c r="AP148" s="423"/>
      <c r="AQ148" s="423"/>
      <c r="AR148" s="423"/>
      <c r="AS148" s="423"/>
      <c r="AV148" s="410"/>
      <c r="AW148" s="412"/>
    </row>
    <row r="149" spans="1:49" s="41" customFormat="1" ht="12.75" hidden="1" customHeight="1">
      <c r="A149" s="244"/>
      <c r="B149" s="245"/>
      <c r="C149" s="951"/>
      <c r="D149" s="951"/>
      <c r="E149" s="967"/>
      <c r="F149" s="967"/>
      <c r="G149" s="967"/>
      <c r="H149" s="968"/>
      <c r="I149" s="968"/>
      <c r="J149" s="968"/>
      <c r="K149" s="92"/>
      <c r="L149" s="44"/>
      <c r="M149" s="282"/>
      <c r="N149" s="969"/>
      <c r="O149" s="969"/>
      <c r="P149" s="98"/>
      <c r="Q149" s="99"/>
      <c r="R149" s="950"/>
      <c r="S149" s="950"/>
      <c r="T149" s="950"/>
      <c r="U149" s="950"/>
      <c r="V149" s="44"/>
      <c r="W149" s="44"/>
      <c r="X149" s="951"/>
      <c r="Y149" s="951"/>
      <c r="Z149" s="98"/>
      <c r="AA149" s="99"/>
      <c r="AB149" s="950"/>
      <c r="AC149" s="950"/>
      <c r="AD149" s="950"/>
      <c r="AE149" s="950"/>
      <c r="AI149" s="41">
        <v>55.274999999999999</v>
      </c>
      <c r="AJ149" s="41" t="s">
        <v>2828</v>
      </c>
      <c r="AK149" s="41">
        <v>7.7839999999999998</v>
      </c>
      <c r="AL149" s="41" t="s">
        <v>2830</v>
      </c>
      <c r="AM149" s="41">
        <v>1000</v>
      </c>
      <c r="AN149" s="41" t="s">
        <v>2829</v>
      </c>
      <c r="AO149" s="423">
        <v>0.43026059999999994</v>
      </c>
      <c r="AP149" s="423"/>
      <c r="AQ149" s="423"/>
      <c r="AR149" s="423"/>
      <c r="AS149" s="423"/>
      <c r="AV149" s="410"/>
      <c r="AW149" s="412"/>
    </row>
    <row r="150" spans="1:49" s="41" customFormat="1" ht="12.75" hidden="1" customHeight="1">
      <c r="A150" s="244"/>
      <c r="B150" s="245"/>
      <c r="C150" s="951"/>
      <c r="D150" s="951"/>
      <c r="E150" s="967"/>
      <c r="F150" s="967"/>
      <c r="G150" s="967"/>
      <c r="H150" s="968"/>
      <c r="I150" s="968"/>
      <c r="J150" s="968"/>
      <c r="K150" s="92"/>
      <c r="L150" s="44"/>
      <c r="M150" s="282"/>
      <c r="N150" s="969"/>
      <c r="O150" s="969"/>
      <c r="P150" s="98"/>
      <c r="Q150" s="99"/>
      <c r="R150" s="950"/>
      <c r="S150" s="950"/>
      <c r="T150" s="950"/>
      <c r="U150" s="950"/>
      <c r="V150" s="44"/>
      <c r="W150" s="44"/>
      <c r="X150" s="951"/>
      <c r="Y150" s="951"/>
      <c r="Z150" s="98"/>
      <c r="AA150" s="99"/>
      <c r="AB150" s="950"/>
      <c r="AC150" s="950"/>
      <c r="AD150" s="950"/>
      <c r="AE150" s="950"/>
      <c r="AI150" s="41">
        <v>55.274999999999999</v>
      </c>
      <c r="AJ150" s="41" t="s">
        <v>2828</v>
      </c>
      <c r="AK150" s="41">
        <v>7.7839999999999998</v>
      </c>
      <c r="AL150" s="41" t="s">
        <v>2830</v>
      </c>
      <c r="AM150" s="41">
        <v>1000</v>
      </c>
      <c r="AN150" s="41" t="s">
        <v>2829</v>
      </c>
      <c r="AO150" s="423">
        <v>0.43026059999999994</v>
      </c>
      <c r="AP150" s="423"/>
      <c r="AQ150" s="423"/>
      <c r="AR150" s="423"/>
      <c r="AS150" s="423"/>
      <c r="AV150" s="410"/>
      <c r="AW150" s="412"/>
    </row>
    <row r="151" spans="1:49" s="41" customFormat="1" ht="12.75" hidden="1" customHeight="1">
      <c r="A151" s="244"/>
      <c r="B151" s="245"/>
      <c r="C151" s="951"/>
      <c r="D151" s="951"/>
      <c r="E151" s="967"/>
      <c r="F151" s="967"/>
      <c r="G151" s="967"/>
      <c r="H151" s="968"/>
      <c r="I151" s="968"/>
      <c r="J151" s="968"/>
      <c r="K151" s="92"/>
      <c r="L151" s="44"/>
      <c r="M151" s="282"/>
      <c r="N151" s="969"/>
      <c r="O151" s="969"/>
      <c r="P151" s="98"/>
      <c r="Q151" s="99"/>
      <c r="R151" s="950"/>
      <c r="S151" s="950"/>
      <c r="T151" s="950"/>
      <c r="U151" s="950"/>
      <c r="V151" s="44"/>
      <c r="W151" s="44"/>
      <c r="X151" s="951"/>
      <c r="Y151" s="951"/>
      <c r="Z151" s="98"/>
      <c r="AA151" s="99"/>
      <c r="AB151" s="950"/>
      <c r="AC151" s="950"/>
      <c r="AD151" s="950"/>
      <c r="AE151" s="950"/>
      <c r="AI151" s="41">
        <v>55.274999999999999</v>
      </c>
      <c r="AJ151" s="41" t="s">
        <v>2828</v>
      </c>
      <c r="AK151" s="41">
        <v>7.7839999999999998</v>
      </c>
      <c r="AL151" s="41" t="s">
        <v>2830</v>
      </c>
      <c r="AM151" s="41">
        <v>1000</v>
      </c>
      <c r="AN151" s="41" t="s">
        <v>2829</v>
      </c>
      <c r="AO151" s="423">
        <v>0.43026059999999994</v>
      </c>
      <c r="AP151" s="423"/>
      <c r="AQ151" s="423"/>
      <c r="AR151" s="423"/>
      <c r="AS151" s="423"/>
      <c r="AV151" s="410"/>
      <c r="AW151" s="412"/>
    </row>
    <row r="152" spans="1:49" s="41" customFormat="1" ht="12.75" hidden="1" customHeight="1">
      <c r="A152" s="244"/>
      <c r="B152" s="245"/>
      <c r="C152" s="951"/>
      <c r="D152" s="951"/>
      <c r="E152" s="967"/>
      <c r="F152" s="967"/>
      <c r="G152" s="967"/>
      <c r="H152" s="968"/>
      <c r="I152" s="968"/>
      <c r="J152" s="968"/>
      <c r="K152" s="92"/>
      <c r="L152" s="44"/>
      <c r="M152" s="282"/>
      <c r="N152" s="969"/>
      <c r="O152" s="969"/>
      <c r="P152" s="98"/>
      <c r="Q152" s="99"/>
      <c r="R152" s="950"/>
      <c r="S152" s="950"/>
      <c r="T152" s="950"/>
      <c r="U152" s="950"/>
      <c r="V152" s="44"/>
      <c r="W152" s="44"/>
      <c r="X152" s="951"/>
      <c r="Y152" s="951"/>
      <c r="Z152" s="98"/>
      <c r="AA152" s="99"/>
      <c r="AB152" s="950"/>
      <c r="AC152" s="950"/>
      <c r="AD152" s="950"/>
      <c r="AE152" s="950"/>
      <c r="AI152" s="41">
        <v>55.274999999999999</v>
      </c>
      <c r="AJ152" s="41" t="s">
        <v>2828</v>
      </c>
      <c r="AK152" s="41">
        <v>7.7839999999999998</v>
      </c>
      <c r="AL152" s="41" t="s">
        <v>2830</v>
      </c>
      <c r="AM152" s="41">
        <v>1000</v>
      </c>
      <c r="AN152" s="41" t="s">
        <v>2829</v>
      </c>
      <c r="AO152" s="423">
        <v>0.43026059999999994</v>
      </c>
      <c r="AP152" s="423"/>
      <c r="AQ152" s="423"/>
      <c r="AR152" s="423"/>
      <c r="AS152" s="423"/>
      <c r="AV152" s="410"/>
      <c r="AW152" s="412"/>
    </row>
    <row r="153" spans="1:49" s="41" customFormat="1" ht="12.75" hidden="1" customHeight="1">
      <c r="A153" s="244"/>
      <c r="B153" s="245"/>
      <c r="C153" s="951"/>
      <c r="D153" s="951"/>
      <c r="E153" s="967"/>
      <c r="F153" s="967"/>
      <c r="G153" s="967"/>
      <c r="H153" s="968"/>
      <c r="I153" s="968"/>
      <c r="J153" s="968"/>
      <c r="K153" s="92"/>
      <c r="L153" s="44"/>
      <c r="M153" s="282"/>
      <c r="N153" s="969"/>
      <c r="O153" s="969"/>
      <c r="P153" s="98"/>
      <c r="Q153" s="99"/>
      <c r="R153" s="950"/>
      <c r="S153" s="950"/>
      <c r="T153" s="950"/>
      <c r="U153" s="950"/>
      <c r="V153" s="44"/>
      <c r="W153" s="44"/>
      <c r="X153" s="951"/>
      <c r="Y153" s="951"/>
      <c r="Z153" s="98"/>
      <c r="AA153" s="99"/>
      <c r="AB153" s="950"/>
      <c r="AC153" s="950"/>
      <c r="AD153" s="950"/>
      <c r="AE153" s="950"/>
      <c r="AI153" s="41">
        <v>55.274999999999999</v>
      </c>
      <c r="AJ153" s="41" t="s">
        <v>2828</v>
      </c>
      <c r="AK153" s="41">
        <v>7.7839999999999998</v>
      </c>
      <c r="AL153" s="41" t="s">
        <v>2830</v>
      </c>
      <c r="AM153" s="41">
        <v>1000</v>
      </c>
      <c r="AN153" s="41" t="s">
        <v>2829</v>
      </c>
      <c r="AO153" s="423">
        <v>0.43026059999999994</v>
      </c>
      <c r="AP153" s="423"/>
      <c r="AQ153" s="423"/>
      <c r="AR153" s="423"/>
      <c r="AS153" s="423"/>
      <c r="AV153" s="410"/>
      <c r="AW153" s="412"/>
    </row>
    <row r="154" spans="1:49" s="41" customFormat="1" ht="12.75" hidden="1" customHeight="1">
      <c r="A154" s="244"/>
      <c r="B154" s="245"/>
      <c r="C154" s="951"/>
      <c r="D154" s="951"/>
      <c r="E154" s="967"/>
      <c r="F154" s="967"/>
      <c r="G154" s="967"/>
      <c r="H154" s="968"/>
      <c r="I154" s="968"/>
      <c r="J154" s="968"/>
      <c r="K154" s="92"/>
      <c r="L154" s="44"/>
      <c r="M154" s="282"/>
      <c r="N154" s="969"/>
      <c r="O154" s="969"/>
      <c r="P154" s="98"/>
      <c r="Q154" s="99"/>
      <c r="R154" s="950"/>
      <c r="S154" s="950"/>
      <c r="T154" s="950"/>
      <c r="U154" s="950"/>
      <c r="V154" s="44"/>
      <c r="W154" s="44"/>
      <c r="X154" s="951"/>
      <c r="Y154" s="951"/>
      <c r="Z154" s="98"/>
      <c r="AA154" s="99"/>
      <c r="AB154" s="950"/>
      <c r="AC154" s="950"/>
      <c r="AD154" s="950"/>
      <c r="AE154" s="950"/>
      <c r="AI154" s="41">
        <v>55.274999999999999</v>
      </c>
      <c r="AJ154" s="41" t="s">
        <v>2828</v>
      </c>
      <c r="AK154" s="41">
        <v>7.7839999999999998</v>
      </c>
      <c r="AL154" s="41" t="s">
        <v>2830</v>
      </c>
      <c r="AM154" s="41">
        <v>1000</v>
      </c>
      <c r="AN154" s="41" t="s">
        <v>2829</v>
      </c>
      <c r="AO154" s="423">
        <v>0.43026059999999994</v>
      </c>
      <c r="AP154" s="423"/>
      <c r="AQ154" s="423"/>
      <c r="AR154" s="423"/>
      <c r="AS154" s="423"/>
      <c r="AV154" s="410"/>
      <c r="AW154" s="412"/>
    </row>
    <row r="155" spans="1:49" s="41" customFormat="1" ht="12.75" hidden="1" customHeight="1">
      <c r="A155" s="244"/>
      <c r="B155" s="245"/>
      <c r="C155" s="951"/>
      <c r="D155" s="951"/>
      <c r="E155" s="967"/>
      <c r="F155" s="967"/>
      <c r="G155" s="967"/>
      <c r="H155" s="968"/>
      <c r="I155" s="968"/>
      <c r="J155" s="968"/>
      <c r="K155" s="92"/>
      <c r="L155" s="44"/>
      <c r="M155" s="282"/>
      <c r="N155" s="969"/>
      <c r="O155" s="969"/>
      <c r="P155" s="98"/>
      <c r="Q155" s="99"/>
      <c r="R155" s="950"/>
      <c r="S155" s="950"/>
      <c r="T155" s="950"/>
      <c r="U155" s="950"/>
      <c r="V155" s="44"/>
      <c r="W155" s="44"/>
      <c r="X155" s="951"/>
      <c r="Y155" s="951"/>
      <c r="Z155" s="98"/>
      <c r="AA155" s="99"/>
      <c r="AB155" s="950"/>
      <c r="AC155" s="950"/>
      <c r="AD155" s="950"/>
      <c r="AE155" s="950"/>
      <c r="AI155" s="41">
        <v>55.274999999999999</v>
      </c>
      <c r="AJ155" s="41" t="s">
        <v>2828</v>
      </c>
      <c r="AK155" s="41">
        <v>7.7839999999999998</v>
      </c>
      <c r="AL155" s="41" t="s">
        <v>2830</v>
      </c>
      <c r="AM155" s="41">
        <v>1000</v>
      </c>
      <c r="AN155" s="41" t="s">
        <v>2829</v>
      </c>
      <c r="AO155" s="423">
        <v>0.43026059999999994</v>
      </c>
      <c r="AP155" s="423"/>
      <c r="AQ155" s="423"/>
      <c r="AR155" s="423"/>
      <c r="AS155" s="423"/>
      <c r="AV155" s="410"/>
      <c r="AW155" s="412"/>
    </row>
    <row r="156" spans="1:49" s="41" customFormat="1" ht="12.75" hidden="1" customHeight="1">
      <c r="A156" s="244"/>
      <c r="B156" s="245"/>
      <c r="C156" s="951"/>
      <c r="D156" s="951"/>
      <c r="E156" s="967"/>
      <c r="F156" s="967"/>
      <c r="G156" s="967"/>
      <c r="H156" s="968"/>
      <c r="I156" s="968"/>
      <c r="J156" s="968"/>
      <c r="K156" s="92"/>
      <c r="L156" s="44"/>
      <c r="M156" s="282"/>
      <c r="N156" s="969"/>
      <c r="O156" s="969"/>
      <c r="P156" s="98"/>
      <c r="Q156" s="99"/>
      <c r="R156" s="950"/>
      <c r="S156" s="950"/>
      <c r="T156" s="950"/>
      <c r="U156" s="950"/>
      <c r="V156" s="44"/>
      <c r="W156" s="44"/>
      <c r="X156" s="951"/>
      <c r="Y156" s="951"/>
      <c r="Z156" s="98"/>
      <c r="AA156" s="99"/>
      <c r="AB156" s="950"/>
      <c r="AC156" s="950"/>
      <c r="AD156" s="950"/>
      <c r="AE156" s="950"/>
      <c r="AI156" s="41">
        <v>55.274999999999999</v>
      </c>
      <c r="AJ156" s="41" t="s">
        <v>2828</v>
      </c>
      <c r="AK156" s="41">
        <v>7.7839999999999998</v>
      </c>
      <c r="AL156" s="41" t="s">
        <v>2830</v>
      </c>
      <c r="AM156" s="41">
        <v>1000</v>
      </c>
      <c r="AN156" s="41" t="s">
        <v>2829</v>
      </c>
      <c r="AO156" s="423">
        <v>0.43026059999999994</v>
      </c>
      <c r="AP156" s="423"/>
      <c r="AQ156" s="423"/>
      <c r="AR156" s="423"/>
      <c r="AS156" s="423"/>
      <c r="AV156" s="410"/>
      <c r="AW156" s="412"/>
    </row>
    <row r="157" spans="1:49" s="41" customFormat="1" ht="12.75" hidden="1" customHeight="1">
      <c r="A157" s="244"/>
      <c r="B157" s="245"/>
      <c r="C157" s="951"/>
      <c r="D157" s="951"/>
      <c r="E157" s="967"/>
      <c r="F157" s="967"/>
      <c r="G157" s="967"/>
      <c r="H157" s="968"/>
      <c r="I157" s="968"/>
      <c r="J157" s="968"/>
      <c r="K157" s="92"/>
      <c r="L157" s="44"/>
      <c r="M157" s="282"/>
      <c r="N157" s="969"/>
      <c r="O157" s="969"/>
      <c r="P157" s="98"/>
      <c r="Q157" s="99"/>
      <c r="R157" s="950"/>
      <c r="S157" s="950"/>
      <c r="T157" s="950"/>
      <c r="U157" s="950"/>
      <c r="V157" s="44"/>
      <c r="W157" s="44"/>
      <c r="X157" s="951"/>
      <c r="Y157" s="951"/>
      <c r="Z157" s="98"/>
      <c r="AA157" s="99"/>
      <c r="AB157" s="950"/>
      <c r="AC157" s="950"/>
      <c r="AD157" s="950"/>
      <c r="AE157" s="950"/>
      <c r="AI157" s="41">
        <v>55.274999999999999</v>
      </c>
      <c r="AJ157" s="41" t="s">
        <v>2828</v>
      </c>
      <c r="AK157" s="41">
        <v>7.7839999999999998</v>
      </c>
      <c r="AL157" s="41" t="s">
        <v>2830</v>
      </c>
      <c r="AM157" s="41">
        <v>1000</v>
      </c>
      <c r="AN157" s="41" t="s">
        <v>2829</v>
      </c>
      <c r="AO157" s="423">
        <v>0.43026059999999994</v>
      </c>
      <c r="AP157" s="423"/>
      <c r="AQ157" s="423"/>
      <c r="AR157" s="423"/>
      <c r="AS157" s="423"/>
      <c r="AV157" s="410"/>
      <c r="AW157" s="412"/>
    </row>
    <row r="158" spans="1:49" s="41" customFormat="1" ht="12.75" hidden="1" customHeight="1">
      <c r="A158" s="244"/>
      <c r="B158" s="245"/>
      <c r="C158" s="951"/>
      <c r="D158" s="951"/>
      <c r="E158" s="967"/>
      <c r="F158" s="967"/>
      <c r="G158" s="967"/>
      <c r="H158" s="968"/>
      <c r="I158" s="968"/>
      <c r="J158" s="968"/>
      <c r="K158" s="92"/>
      <c r="L158" s="44"/>
      <c r="M158" s="282"/>
      <c r="N158" s="969"/>
      <c r="O158" s="969"/>
      <c r="P158" s="98"/>
      <c r="Q158" s="99"/>
      <c r="R158" s="950"/>
      <c r="S158" s="950"/>
      <c r="T158" s="950"/>
      <c r="U158" s="950"/>
      <c r="V158" s="44"/>
      <c r="W158" s="44"/>
      <c r="X158" s="951"/>
      <c r="Y158" s="951"/>
      <c r="Z158" s="98"/>
      <c r="AA158" s="99"/>
      <c r="AB158" s="950"/>
      <c r="AC158" s="950"/>
      <c r="AD158" s="950"/>
      <c r="AE158" s="950"/>
      <c r="AI158" s="41">
        <v>55.274999999999999</v>
      </c>
      <c r="AJ158" s="41" t="s">
        <v>2828</v>
      </c>
      <c r="AK158" s="41">
        <v>7.7839999999999998</v>
      </c>
      <c r="AL158" s="41" t="s">
        <v>2830</v>
      </c>
      <c r="AM158" s="41">
        <v>1000</v>
      </c>
      <c r="AN158" s="41" t="s">
        <v>2829</v>
      </c>
      <c r="AO158" s="423">
        <v>0.43026059999999994</v>
      </c>
      <c r="AP158" s="423"/>
      <c r="AQ158" s="423"/>
      <c r="AR158" s="423"/>
      <c r="AS158" s="423"/>
      <c r="AV158" s="410"/>
      <c r="AW158" s="412"/>
    </row>
    <row r="159" spans="1:49" s="41" customFormat="1" ht="12.75" hidden="1" customHeight="1">
      <c r="A159" s="244"/>
      <c r="B159" s="245"/>
      <c r="C159" s="951"/>
      <c r="D159" s="951"/>
      <c r="E159" s="967"/>
      <c r="F159" s="967"/>
      <c r="G159" s="967"/>
      <c r="H159" s="968"/>
      <c r="I159" s="968"/>
      <c r="J159" s="968"/>
      <c r="K159" s="92"/>
      <c r="L159" s="44"/>
      <c r="M159" s="282"/>
      <c r="N159" s="969"/>
      <c r="O159" s="969"/>
      <c r="P159" s="98"/>
      <c r="Q159" s="99"/>
      <c r="R159" s="950"/>
      <c r="S159" s="950"/>
      <c r="T159" s="950"/>
      <c r="U159" s="950"/>
      <c r="V159" s="44"/>
      <c r="W159" s="44"/>
      <c r="X159" s="951"/>
      <c r="Y159" s="951"/>
      <c r="Z159" s="98"/>
      <c r="AA159" s="99"/>
      <c r="AB159" s="950"/>
      <c r="AC159" s="950"/>
      <c r="AD159" s="950"/>
      <c r="AE159" s="950"/>
      <c r="AI159" s="41">
        <v>55.274999999999999</v>
      </c>
      <c r="AJ159" s="41" t="s">
        <v>2828</v>
      </c>
      <c r="AK159" s="41">
        <v>7.7839999999999998</v>
      </c>
      <c r="AL159" s="41" t="s">
        <v>2830</v>
      </c>
      <c r="AM159" s="41">
        <v>1000</v>
      </c>
      <c r="AN159" s="41" t="s">
        <v>2829</v>
      </c>
      <c r="AO159" s="423">
        <v>0.43026059999999994</v>
      </c>
      <c r="AP159" s="423"/>
      <c r="AQ159" s="423"/>
      <c r="AR159" s="423"/>
      <c r="AS159" s="423"/>
      <c r="AV159" s="410"/>
      <c r="AW159" s="412"/>
    </row>
    <row r="160" spans="1:49" s="41" customFormat="1" ht="12.75" hidden="1" customHeight="1">
      <c r="A160" s="244"/>
      <c r="B160" s="245"/>
      <c r="C160" s="951"/>
      <c r="D160" s="951"/>
      <c r="E160" s="967"/>
      <c r="F160" s="967"/>
      <c r="G160" s="967"/>
      <c r="H160" s="968"/>
      <c r="I160" s="968"/>
      <c r="J160" s="968"/>
      <c r="K160" s="92"/>
      <c r="L160" s="44"/>
      <c r="M160" s="282"/>
      <c r="N160" s="969"/>
      <c r="O160" s="969"/>
      <c r="P160" s="98"/>
      <c r="Q160" s="99"/>
      <c r="R160" s="950"/>
      <c r="S160" s="950"/>
      <c r="T160" s="950"/>
      <c r="U160" s="950"/>
      <c r="V160" s="44"/>
      <c r="W160" s="44"/>
      <c r="X160" s="951"/>
      <c r="Y160" s="951"/>
      <c r="Z160" s="98"/>
      <c r="AA160" s="99"/>
      <c r="AB160" s="950"/>
      <c r="AC160" s="950"/>
      <c r="AD160" s="950"/>
      <c r="AE160" s="950"/>
      <c r="AI160" s="41">
        <v>55.274999999999999</v>
      </c>
      <c r="AJ160" s="41" t="s">
        <v>2828</v>
      </c>
      <c r="AK160" s="41">
        <v>7.7839999999999998</v>
      </c>
      <c r="AL160" s="41" t="s">
        <v>2830</v>
      </c>
      <c r="AM160" s="41">
        <v>1000</v>
      </c>
      <c r="AN160" s="41" t="s">
        <v>2829</v>
      </c>
      <c r="AO160" s="423">
        <v>0.43026059999999994</v>
      </c>
      <c r="AP160" s="423"/>
      <c r="AQ160" s="423"/>
      <c r="AR160" s="423"/>
      <c r="AS160" s="423"/>
      <c r="AV160" s="410"/>
      <c r="AW160" s="412"/>
    </row>
    <row r="161" spans="1:49" s="41" customFormat="1" ht="12.75" hidden="1" customHeight="1">
      <c r="A161" s="244"/>
      <c r="B161" s="245"/>
      <c r="C161" s="951"/>
      <c r="D161" s="951"/>
      <c r="E161" s="967"/>
      <c r="F161" s="967"/>
      <c r="G161" s="967"/>
      <c r="H161" s="968"/>
      <c r="I161" s="968"/>
      <c r="J161" s="968"/>
      <c r="K161" s="92"/>
      <c r="L161" s="44"/>
      <c r="M161" s="282"/>
      <c r="N161" s="969"/>
      <c r="O161" s="969"/>
      <c r="P161" s="98"/>
      <c r="Q161" s="99"/>
      <c r="R161" s="950"/>
      <c r="S161" s="950"/>
      <c r="T161" s="950"/>
      <c r="U161" s="950"/>
      <c r="V161" s="44"/>
      <c r="W161" s="44"/>
      <c r="X161" s="951"/>
      <c r="Y161" s="951"/>
      <c r="Z161" s="98"/>
      <c r="AA161" s="99"/>
      <c r="AB161" s="950"/>
      <c r="AC161" s="950"/>
      <c r="AD161" s="950"/>
      <c r="AE161" s="950"/>
      <c r="AI161" s="41">
        <v>55.274999999999999</v>
      </c>
      <c r="AJ161" s="41" t="s">
        <v>2828</v>
      </c>
      <c r="AK161" s="41">
        <v>7.7839999999999998</v>
      </c>
      <c r="AL161" s="41" t="s">
        <v>2830</v>
      </c>
      <c r="AM161" s="41">
        <v>1000</v>
      </c>
      <c r="AN161" s="41" t="s">
        <v>2829</v>
      </c>
      <c r="AO161" s="423">
        <v>0.43026059999999994</v>
      </c>
      <c r="AP161" s="423"/>
      <c r="AQ161" s="423"/>
      <c r="AR161" s="423"/>
      <c r="AS161" s="423"/>
      <c r="AV161" s="410"/>
      <c r="AW161" s="412"/>
    </row>
    <row r="162" spans="1:49" s="41" customFormat="1" ht="12.75" hidden="1" customHeight="1">
      <c r="A162" s="244"/>
      <c r="B162" s="245"/>
      <c r="C162" s="951"/>
      <c r="D162" s="951"/>
      <c r="E162" s="967"/>
      <c r="F162" s="967"/>
      <c r="G162" s="967"/>
      <c r="H162" s="968"/>
      <c r="I162" s="968"/>
      <c r="J162" s="968"/>
      <c r="K162" s="92"/>
      <c r="L162" s="44"/>
      <c r="M162" s="282"/>
      <c r="N162" s="969"/>
      <c r="O162" s="969"/>
      <c r="P162" s="98"/>
      <c r="Q162" s="99"/>
      <c r="R162" s="950"/>
      <c r="S162" s="950"/>
      <c r="T162" s="950"/>
      <c r="U162" s="950"/>
      <c r="V162" s="44"/>
      <c r="W162" s="44"/>
      <c r="X162" s="951"/>
      <c r="Y162" s="951"/>
      <c r="Z162" s="98"/>
      <c r="AA162" s="99"/>
      <c r="AB162" s="950"/>
      <c r="AC162" s="950"/>
      <c r="AD162" s="950"/>
      <c r="AE162" s="950"/>
      <c r="AI162" s="41">
        <v>55.274999999999999</v>
      </c>
      <c r="AJ162" s="41" t="s">
        <v>2828</v>
      </c>
      <c r="AK162" s="41">
        <v>7.7839999999999998</v>
      </c>
      <c r="AL162" s="41" t="s">
        <v>2830</v>
      </c>
      <c r="AM162" s="41">
        <v>1000</v>
      </c>
      <c r="AN162" s="41" t="s">
        <v>2829</v>
      </c>
      <c r="AO162" s="423">
        <v>0.43026059999999994</v>
      </c>
      <c r="AP162" s="423"/>
      <c r="AQ162" s="423"/>
      <c r="AR162" s="423"/>
      <c r="AS162" s="423"/>
      <c r="AV162" s="410"/>
      <c r="AW162" s="412"/>
    </row>
    <row r="163" spans="1:49" s="41" customFormat="1" ht="12.75" hidden="1" customHeight="1">
      <c r="A163" s="244"/>
      <c r="B163" s="245"/>
      <c r="C163" s="951"/>
      <c r="D163" s="951"/>
      <c r="E163" s="967"/>
      <c r="F163" s="967"/>
      <c r="G163" s="967"/>
      <c r="H163" s="968"/>
      <c r="I163" s="968"/>
      <c r="J163" s="968"/>
      <c r="K163" s="92"/>
      <c r="L163" s="44"/>
      <c r="M163" s="282"/>
      <c r="N163" s="969"/>
      <c r="O163" s="969"/>
      <c r="P163" s="98"/>
      <c r="Q163" s="99"/>
      <c r="R163" s="950"/>
      <c r="S163" s="950"/>
      <c r="T163" s="950"/>
      <c r="U163" s="950"/>
      <c r="V163" s="44"/>
      <c r="W163" s="44"/>
      <c r="X163" s="951"/>
      <c r="Y163" s="951"/>
      <c r="Z163" s="98"/>
      <c r="AA163" s="99"/>
      <c r="AB163" s="950"/>
      <c r="AC163" s="950"/>
      <c r="AD163" s="950"/>
      <c r="AE163" s="950"/>
      <c r="AI163" s="41">
        <v>55.274999999999999</v>
      </c>
      <c r="AJ163" s="41" t="s">
        <v>2828</v>
      </c>
      <c r="AK163" s="41">
        <v>7.7839999999999998</v>
      </c>
      <c r="AL163" s="41" t="s">
        <v>2830</v>
      </c>
      <c r="AM163" s="41">
        <v>1000</v>
      </c>
      <c r="AN163" s="41" t="s">
        <v>2829</v>
      </c>
      <c r="AO163" s="423">
        <v>0.43026059999999994</v>
      </c>
      <c r="AP163" s="423"/>
      <c r="AQ163" s="423"/>
      <c r="AR163" s="423"/>
      <c r="AS163" s="423"/>
      <c r="AV163" s="410"/>
      <c r="AW163" s="412"/>
    </row>
    <row r="164" spans="1:49" s="41" customFormat="1" ht="12.75" hidden="1" customHeight="1">
      <c r="A164" s="244"/>
      <c r="B164" s="245"/>
      <c r="C164" s="951"/>
      <c r="D164" s="951"/>
      <c r="E164" s="967"/>
      <c r="F164" s="967"/>
      <c r="G164" s="967"/>
      <c r="H164" s="968"/>
      <c r="I164" s="968"/>
      <c r="J164" s="968"/>
      <c r="K164" s="92"/>
      <c r="L164" s="44"/>
      <c r="M164" s="282"/>
      <c r="N164" s="969"/>
      <c r="O164" s="969"/>
      <c r="P164" s="98"/>
      <c r="Q164" s="99"/>
      <c r="R164" s="950"/>
      <c r="S164" s="950"/>
      <c r="T164" s="950"/>
      <c r="U164" s="950"/>
      <c r="V164" s="44"/>
      <c r="W164" s="44"/>
      <c r="X164" s="951"/>
      <c r="Y164" s="951"/>
      <c r="Z164" s="98"/>
      <c r="AA164" s="99"/>
      <c r="AB164" s="950"/>
      <c r="AC164" s="950"/>
      <c r="AD164" s="950"/>
      <c r="AE164" s="950"/>
      <c r="AI164" s="41">
        <v>55.274999999999999</v>
      </c>
      <c r="AJ164" s="41" t="s">
        <v>2828</v>
      </c>
      <c r="AK164" s="41">
        <v>7.7839999999999998</v>
      </c>
      <c r="AL164" s="41" t="s">
        <v>2830</v>
      </c>
      <c r="AM164" s="41">
        <v>1000</v>
      </c>
      <c r="AN164" s="41" t="s">
        <v>2829</v>
      </c>
      <c r="AO164" s="423">
        <v>0.43026059999999994</v>
      </c>
      <c r="AP164" s="423"/>
      <c r="AQ164" s="423"/>
      <c r="AR164" s="423"/>
      <c r="AS164" s="423"/>
      <c r="AV164" s="410"/>
      <c r="AW164" s="412"/>
    </row>
    <row r="165" spans="1:49" s="41" customFormat="1" ht="12.75" hidden="1" customHeight="1">
      <c r="A165" s="244"/>
      <c r="B165" s="245"/>
      <c r="C165" s="951"/>
      <c r="D165" s="951"/>
      <c r="E165" s="967"/>
      <c r="F165" s="967"/>
      <c r="G165" s="967"/>
      <c r="H165" s="968"/>
      <c r="I165" s="968"/>
      <c r="J165" s="968"/>
      <c r="K165" s="92"/>
      <c r="L165" s="44"/>
      <c r="M165" s="282"/>
      <c r="N165" s="969"/>
      <c r="O165" s="969"/>
      <c r="P165" s="98"/>
      <c r="Q165" s="99"/>
      <c r="R165" s="950"/>
      <c r="S165" s="950"/>
      <c r="T165" s="950"/>
      <c r="U165" s="950"/>
      <c r="V165" s="44"/>
      <c r="W165" s="44"/>
      <c r="X165" s="951"/>
      <c r="Y165" s="951"/>
      <c r="Z165" s="98"/>
      <c r="AA165" s="99"/>
      <c r="AB165" s="950"/>
      <c r="AC165" s="950"/>
      <c r="AD165" s="950"/>
      <c r="AE165" s="950"/>
      <c r="AI165" s="41">
        <v>55.274999999999999</v>
      </c>
      <c r="AJ165" s="41" t="s">
        <v>2828</v>
      </c>
      <c r="AK165" s="41">
        <v>7.7839999999999998</v>
      </c>
      <c r="AL165" s="41" t="s">
        <v>2830</v>
      </c>
      <c r="AM165" s="41">
        <v>1000</v>
      </c>
      <c r="AN165" s="41" t="s">
        <v>2829</v>
      </c>
      <c r="AO165" s="423">
        <v>0.43026059999999994</v>
      </c>
      <c r="AP165" s="423"/>
      <c r="AQ165" s="423"/>
      <c r="AR165" s="423"/>
      <c r="AS165" s="423"/>
      <c r="AV165" s="410"/>
      <c r="AW165" s="412"/>
    </row>
    <row r="166" spans="1:49" s="41" customFormat="1" ht="12.75" hidden="1" customHeight="1">
      <c r="A166" s="244"/>
      <c r="B166" s="245"/>
      <c r="C166" s="951"/>
      <c r="D166" s="951"/>
      <c r="E166" s="967"/>
      <c r="F166" s="967"/>
      <c r="G166" s="967"/>
      <c r="H166" s="968"/>
      <c r="I166" s="968"/>
      <c r="J166" s="968"/>
      <c r="K166" s="92"/>
      <c r="L166" s="44"/>
      <c r="M166" s="282"/>
      <c r="N166" s="969"/>
      <c r="O166" s="969"/>
      <c r="P166" s="98"/>
      <c r="Q166" s="99"/>
      <c r="R166" s="950"/>
      <c r="S166" s="950"/>
      <c r="T166" s="950"/>
      <c r="U166" s="950"/>
      <c r="V166" s="44"/>
      <c r="W166" s="44"/>
      <c r="X166" s="951"/>
      <c r="Y166" s="951"/>
      <c r="Z166" s="98"/>
      <c r="AA166" s="99"/>
      <c r="AB166" s="950"/>
      <c r="AC166" s="950"/>
      <c r="AD166" s="950"/>
      <c r="AE166" s="950"/>
      <c r="AI166" s="41">
        <v>55.274999999999999</v>
      </c>
      <c r="AJ166" s="41" t="s">
        <v>2828</v>
      </c>
      <c r="AK166" s="41">
        <v>7.7839999999999998</v>
      </c>
      <c r="AL166" s="41" t="s">
        <v>2830</v>
      </c>
      <c r="AM166" s="41">
        <v>1000</v>
      </c>
      <c r="AN166" s="41" t="s">
        <v>2829</v>
      </c>
      <c r="AO166" s="423">
        <v>0.43026059999999994</v>
      </c>
      <c r="AP166" s="423"/>
      <c r="AQ166" s="423"/>
      <c r="AR166" s="423"/>
      <c r="AS166" s="423"/>
      <c r="AV166" s="410"/>
      <c r="AW166" s="412"/>
    </row>
    <row r="167" spans="1:49" s="41" customFormat="1" ht="12.75" hidden="1" customHeight="1">
      <c r="A167" s="244"/>
      <c r="B167" s="245"/>
      <c r="C167" s="951"/>
      <c r="D167" s="951"/>
      <c r="E167" s="967"/>
      <c r="F167" s="967"/>
      <c r="G167" s="967"/>
      <c r="H167" s="968"/>
      <c r="I167" s="968"/>
      <c r="J167" s="968"/>
      <c r="K167" s="92"/>
      <c r="L167" s="44"/>
      <c r="M167" s="282"/>
      <c r="N167" s="969"/>
      <c r="O167" s="969"/>
      <c r="P167" s="98"/>
      <c r="Q167" s="99"/>
      <c r="R167" s="950"/>
      <c r="S167" s="950"/>
      <c r="T167" s="950"/>
      <c r="U167" s="950"/>
      <c r="V167" s="44"/>
      <c r="W167" s="44"/>
      <c r="X167" s="951"/>
      <c r="Y167" s="951"/>
      <c r="Z167" s="98"/>
      <c r="AA167" s="99"/>
      <c r="AB167" s="950"/>
      <c r="AC167" s="950"/>
      <c r="AD167" s="950"/>
      <c r="AE167" s="950"/>
      <c r="AI167" s="41">
        <v>55.274999999999999</v>
      </c>
      <c r="AJ167" s="41" t="s">
        <v>2828</v>
      </c>
      <c r="AK167" s="41">
        <v>7.7839999999999998</v>
      </c>
      <c r="AL167" s="41" t="s">
        <v>2830</v>
      </c>
      <c r="AM167" s="41">
        <v>1000</v>
      </c>
      <c r="AN167" s="41" t="s">
        <v>2829</v>
      </c>
      <c r="AO167" s="423">
        <v>0.43026059999999994</v>
      </c>
      <c r="AP167" s="423"/>
      <c r="AQ167" s="423"/>
      <c r="AR167" s="423"/>
      <c r="AS167" s="423"/>
      <c r="AV167" s="410"/>
      <c r="AW167" s="412"/>
    </row>
    <row r="168" spans="1:49" s="41" customFormat="1" ht="12.75" hidden="1" customHeight="1">
      <c r="A168" s="244"/>
      <c r="B168" s="245"/>
      <c r="C168" s="951"/>
      <c r="D168" s="951"/>
      <c r="E168" s="967"/>
      <c r="F168" s="967"/>
      <c r="G168" s="967"/>
      <c r="H168" s="968"/>
      <c r="I168" s="968"/>
      <c r="J168" s="968"/>
      <c r="K168" s="92"/>
      <c r="L168" s="44"/>
      <c r="M168" s="282"/>
      <c r="N168" s="969"/>
      <c r="O168" s="969"/>
      <c r="P168" s="98"/>
      <c r="Q168" s="99"/>
      <c r="R168" s="950"/>
      <c r="S168" s="950"/>
      <c r="T168" s="950"/>
      <c r="U168" s="950"/>
      <c r="V168" s="44"/>
      <c r="W168" s="44"/>
      <c r="X168" s="951"/>
      <c r="Y168" s="951"/>
      <c r="Z168" s="98"/>
      <c r="AA168" s="99"/>
      <c r="AB168" s="950"/>
      <c r="AC168" s="950"/>
      <c r="AD168" s="950"/>
      <c r="AE168" s="950"/>
      <c r="AI168" s="41">
        <v>55.274999999999999</v>
      </c>
      <c r="AJ168" s="41" t="s">
        <v>2828</v>
      </c>
      <c r="AK168" s="41">
        <v>7.7839999999999998</v>
      </c>
      <c r="AL168" s="41" t="s">
        <v>2830</v>
      </c>
      <c r="AM168" s="41">
        <v>1000</v>
      </c>
      <c r="AN168" s="41" t="s">
        <v>2829</v>
      </c>
      <c r="AO168" s="423">
        <v>0.43026059999999994</v>
      </c>
      <c r="AP168" s="423"/>
      <c r="AQ168" s="423"/>
      <c r="AR168" s="423"/>
      <c r="AS168" s="423"/>
      <c r="AV168" s="410"/>
      <c r="AW168" s="412"/>
    </row>
    <row r="169" spans="1:49" s="41" customFormat="1" ht="12.75" hidden="1" customHeight="1">
      <c r="A169" s="244"/>
      <c r="B169" s="245"/>
      <c r="C169" s="951"/>
      <c r="D169" s="951"/>
      <c r="E169" s="967"/>
      <c r="F169" s="967"/>
      <c r="G169" s="967"/>
      <c r="H169" s="968"/>
      <c r="I169" s="968"/>
      <c r="J169" s="968"/>
      <c r="K169" s="92"/>
      <c r="L169" s="44"/>
      <c r="M169" s="282"/>
      <c r="N169" s="969"/>
      <c r="O169" s="969"/>
      <c r="P169" s="98"/>
      <c r="Q169" s="99"/>
      <c r="R169" s="950"/>
      <c r="S169" s="950"/>
      <c r="T169" s="950"/>
      <c r="U169" s="950"/>
      <c r="V169" s="44"/>
      <c r="W169" s="44"/>
      <c r="X169" s="951"/>
      <c r="Y169" s="951"/>
      <c r="Z169" s="98"/>
      <c r="AA169" s="99"/>
      <c r="AB169" s="950"/>
      <c r="AC169" s="950"/>
      <c r="AD169" s="950"/>
      <c r="AE169" s="950"/>
      <c r="AI169" s="41">
        <v>55.274999999999999</v>
      </c>
      <c r="AJ169" s="41" t="s">
        <v>2828</v>
      </c>
      <c r="AK169" s="41">
        <v>7.7839999999999998</v>
      </c>
      <c r="AL169" s="41" t="s">
        <v>2830</v>
      </c>
      <c r="AM169" s="41">
        <v>1000</v>
      </c>
      <c r="AN169" s="41" t="s">
        <v>2829</v>
      </c>
      <c r="AO169" s="423">
        <v>0.43026059999999994</v>
      </c>
      <c r="AP169" s="423"/>
      <c r="AQ169" s="423"/>
      <c r="AR169" s="423"/>
      <c r="AS169" s="423"/>
      <c r="AV169" s="410"/>
      <c r="AW169" s="412"/>
    </row>
    <row r="170" spans="1:49" s="41" customFormat="1" ht="12.75" hidden="1" customHeight="1">
      <c r="A170" s="244"/>
      <c r="B170" s="245"/>
      <c r="C170" s="951"/>
      <c r="D170" s="951"/>
      <c r="E170" s="967"/>
      <c r="F170" s="967"/>
      <c r="G170" s="967"/>
      <c r="H170" s="968"/>
      <c r="I170" s="968"/>
      <c r="J170" s="968"/>
      <c r="K170" s="92"/>
      <c r="L170" s="44"/>
      <c r="M170" s="282"/>
      <c r="N170" s="969"/>
      <c r="O170" s="969"/>
      <c r="P170" s="98"/>
      <c r="Q170" s="99"/>
      <c r="R170" s="950"/>
      <c r="S170" s="950"/>
      <c r="T170" s="950"/>
      <c r="U170" s="950"/>
      <c r="V170" s="44"/>
      <c r="W170" s="44"/>
      <c r="X170" s="951"/>
      <c r="Y170" s="951"/>
      <c r="Z170" s="98"/>
      <c r="AA170" s="99"/>
      <c r="AB170" s="950"/>
      <c r="AC170" s="950"/>
      <c r="AD170" s="950"/>
      <c r="AE170" s="950"/>
      <c r="AI170" s="41">
        <v>55.274999999999999</v>
      </c>
      <c r="AJ170" s="41" t="s">
        <v>2828</v>
      </c>
      <c r="AK170" s="41">
        <v>7.7839999999999998</v>
      </c>
      <c r="AL170" s="41" t="s">
        <v>2830</v>
      </c>
      <c r="AM170" s="41">
        <v>1000</v>
      </c>
      <c r="AN170" s="41" t="s">
        <v>2829</v>
      </c>
      <c r="AO170" s="423">
        <v>0.43026059999999994</v>
      </c>
      <c r="AP170" s="423"/>
      <c r="AQ170" s="423"/>
      <c r="AR170" s="423"/>
      <c r="AS170" s="423"/>
      <c r="AV170" s="410"/>
      <c r="AW170" s="412"/>
    </row>
    <row r="171" spans="1:49" s="41" customFormat="1" ht="12.75" hidden="1" customHeight="1">
      <c r="A171" s="244"/>
      <c r="B171" s="245"/>
      <c r="C171" s="951"/>
      <c r="D171" s="951"/>
      <c r="E171" s="967"/>
      <c r="F171" s="967"/>
      <c r="G171" s="967"/>
      <c r="H171" s="968"/>
      <c r="I171" s="968"/>
      <c r="J171" s="968"/>
      <c r="K171" s="92"/>
      <c r="L171" s="44"/>
      <c r="M171" s="282"/>
      <c r="N171" s="969"/>
      <c r="O171" s="969"/>
      <c r="P171" s="98"/>
      <c r="Q171" s="99"/>
      <c r="R171" s="950"/>
      <c r="S171" s="950"/>
      <c r="T171" s="950"/>
      <c r="U171" s="950"/>
      <c r="V171" s="44"/>
      <c r="W171" s="44"/>
      <c r="X171" s="951"/>
      <c r="Y171" s="951"/>
      <c r="Z171" s="98"/>
      <c r="AA171" s="99"/>
      <c r="AB171" s="950"/>
      <c r="AC171" s="950"/>
      <c r="AD171" s="950"/>
      <c r="AE171" s="950"/>
      <c r="AI171" s="41">
        <v>55.274999999999999</v>
      </c>
      <c r="AJ171" s="41" t="s">
        <v>2828</v>
      </c>
      <c r="AK171" s="41">
        <v>7.7839999999999998</v>
      </c>
      <c r="AL171" s="41" t="s">
        <v>2830</v>
      </c>
      <c r="AM171" s="41">
        <v>1000</v>
      </c>
      <c r="AN171" s="41" t="s">
        <v>2829</v>
      </c>
      <c r="AO171" s="423">
        <v>0.43026059999999994</v>
      </c>
      <c r="AP171" s="423"/>
      <c r="AQ171" s="423"/>
      <c r="AR171" s="423"/>
      <c r="AS171" s="423"/>
      <c r="AV171" s="410"/>
      <c r="AW171" s="412"/>
    </row>
    <row r="172" spans="1:49" s="41" customFormat="1" ht="12.75" hidden="1" customHeight="1">
      <c r="A172" s="244"/>
      <c r="B172" s="245"/>
      <c r="C172" s="951"/>
      <c r="D172" s="951"/>
      <c r="E172" s="967"/>
      <c r="F172" s="967"/>
      <c r="G172" s="967"/>
      <c r="H172" s="968"/>
      <c r="I172" s="968"/>
      <c r="J172" s="968"/>
      <c r="K172" s="92"/>
      <c r="L172" s="44"/>
      <c r="M172" s="282"/>
      <c r="N172" s="969"/>
      <c r="O172" s="969"/>
      <c r="P172" s="98"/>
      <c r="Q172" s="99"/>
      <c r="R172" s="950"/>
      <c r="S172" s="950"/>
      <c r="T172" s="950"/>
      <c r="U172" s="950"/>
      <c r="V172" s="44"/>
      <c r="W172" s="44"/>
      <c r="X172" s="951"/>
      <c r="Y172" s="951"/>
      <c r="Z172" s="98"/>
      <c r="AA172" s="99"/>
      <c r="AB172" s="950"/>
      <c r="AC172" s="950"/>
      <c r="AD172" s="950"/>
      <c r="AE172" s="950"/>
      <c r="AI172" s="41">
        <v>55.274999999999999</v>
      </c>
      <c r="AJ172" s="41" t="s">
        <v>2828</v>
      </c>
      <c r="AK172" s="41">
        <v>7.7839999999999998</v>
      </c>
      <c r="AL172" s="41" t="s">
        <v>2830</v>
      </c>
      <c r="AM172" s="41">
        <v>1000</v>
      </c>
      <c r="AN172" s="41" t="s">
        <v>2829</v>
      </c>
      <c r="AO172" s="423">
        <v>0.43026059999999994</v>
      </c>
      <c r="AP172" s="423"/>
      <c r="AQ172" s="423"/>
      <c r="AR172" s="423"/>
      <c r="AS172" s="423"/>
      <c r="AV172" s="410"/>
      <c r="AW172" s="412"/>
    </row>
    <row r="173" spans="1:49" s="41" customFormat="1" ht="12.75" hidden="1" customHeight="1">
      <c r="A173" s="244"/>
      <c r="B173" s="245"/>
      <c r="C173" s="951"/>
      <c r="D173" s="951"/>
      <c r="E173" s="967"/>
      <c r="F173" s="967"/>
      <c r="G173" s="967"/>
      <c r="H173" s="968"/>
      <c r="I173" s="968"/>
      <c r="J173" s="968"/>
      <c r="K173" s="92"/>
      <c r="L173" s="44"/>
      <c r="M173" s="282"/>
      <c r="N173" s="969"/>
      <c r="O173" s="969"/>
      <c r="P173" s="98"/>
      <c r="Q173" s="99"/>
      <c r="R173" s="950"/>
      <c r="S173" s="950"/>
      <c r="T173" s="950"/>
      <c r="U173" s="950"/>
      <c r="V173" s="44"/>
      <c r="W173" s="44"/>
      <c r="X173" s="951"/>
      <c r="Y173" s="951"/>
      <c r="Z173" s="98"/>
      <c r="AA173" s="99"/>
      <c r="AB173" s="950"/>
      <c r="AC173" s="950"/>
      <c r="AD173" s="950"/>
      <c r="AE173" s="950"/>
      <c r="AI173" s="41">
        <v>55.274999999999999</v>
      </c>
      <c r="AJ173" s="41" t="s">
        <v>2828</v>
      </c>
      <c r="AK173" s="41">
        <v>7.7839999999999998</v>
      </c>
      <c r="AL173" s="41" t="s">
        <v>2830</v>
      </c>
      <c r="AM173" s="41">
        <v>1000</v>
      </c>
      <c r="AN173" s="41" t="s">
        <v>2829</v>
      </c>
      <c r="AO173" s="423">
        <v>0.43026059999999994</v>
      </c>
      <c r="AP173" s="423"/>
      <c r="AQ173" s="423"/>
      <c r="AR173" s="423"/>
      <c r="AS173" s="423"/>
      <c r="AV173" s="410"/>
      <c r="AW173" s="412"/>
    </row>
    <row r="174" spans="1:49" s="41" customFormat="1" ht="12.75" hidden="1" customHeight="1">
      <c r="A174" s="244"/>
      <c r="B174" s="245"/>
      <c r="C174" s="951"/>
      <c r="D174" s="951"/>
      <c r="E174" s="967"/>
      <c r="F174" s="967"/>
      <c r="G174" s="967"/>
      <c r="H174" s="968"/>
      <c r="I174" s="968"/>
      <c r="J174" s="968"/>
      <c r="K174" s="92"/>
      <c r="L174" s="44"/>
      <c r="M174" s="282"/>
      <c r="N174" s="969"/>
      <c r="O174" s="969"/>
      <c r="P174" s="98"/>
      <c r="Q174" s="99"/>
      <c r="R174" s="950"/>
      <c r="S174" s="950"/>
      <c r="T174" s="950"/>
      <c r="U174" s="950"/>
      <c r="V174" s="44"/>
      <c r="W174" s="44"/>
      <c r="X174" s="951"/>
      <c r="Y174" s="951"/>
      <c r="Z174" s="98"/>
      <c r="AA174" s="99"/>
      <c r="AB174" s="950"/>
      <c r="AC174" s="950"/>
      <c r="AD174" s="950"/>
      <c r="AE174" s="950"/>
      <c r="AI174" s="41">
        <v>55.274999999999999</v>
      </c>
      <c r="AJ174" s="41" t="s">
        <v>2828</v>
      </c>
      <c r="AK174" s="41">
        <v>7.7839999999999998</v>
      </c>
      <c r="AL174" s="41" t="s">
        <v>2830</v>
      </c>
      <c r="AM174" s="41">
        <v>1000</v>
      </c>
      <c r="AN174" s="41" t="s">
        <v>2829</v>
      </c>
      <c r="AO174" s="423">
        <v>0.43026059999999994</v>
      </c>
      <c r="AP174" s="423"/>
      <c r="AQ174" s="423"/>
      <c r="AR174" s="423"/>
      <c r="AS174" s="423"/>
      <c r="AV174" s="410"/>
      <c r="AW174" s="412"/>
    </row>
    <row r="175" spans="1:49" s="41" customFormat="1" ht="12.75" hidden="1" customHeight="1">
      <c r="A175" s="244"/>
      <c r="B175" s="245"/>
      <c r="C175" s="951"/>
      <c r="D175" s="951"/>
      <c r="E175" s="967"/>
      <c r="F175" s="967"/>
      <c r="G175" s="967"/>
      <c r="H175" s="968"/>
      <c r="I175" s="968"/>
      <c r="J175" s="968"/>
      <c r="K175" s="92"/>
      <c r="L175" s="44"/>
      <c r="M175" s="282"/>
      <c r="N175" s="969"/>
      <c r="O175" s="969"/>
      <c r="P175" s="98"/>
      <c r="Q175" s="99"/>
      <c r="R175" s="950"/>
      <c r="S175" s="950"/>
      <c r="T175" s="950"/>
      <c r="U175" s="950"/>
      <c r="V175" s="44"/>
      <c r="W175" s="44"/>
      <c r="X175" s="951"/>
      <c r="Y175" s="951"/>
      <c r="Z175" s="98"/>
      <c r="AA175" s="99"/>
      <c r="AB175" s="950"/>
      <c r="AC175" s="950"/>
      <c r="AD175" s="950"/>
      <c r="AE175" s="950"/>
      <c r="AI175" s="41">
        <v>55.274999999999999</v>
      </c>
      <c r="AJ175" s="41" t="s">
        <v>2828</v>
      </c>
      <c r="AK175" s="41">
        <v>7.7839999999999998</v>
      </c>
      <c r="AL175" s="41" t="s">
        <v>2830</v>
      </c>
      <c r="AM175" s="41">
        <v>1000</v>
      </c>
      <c r="AN175" s="41" t="s">
        <v>2829</v>
      </c>
      <c r="AO175" s="423">
        <v>0.43026059999999994</v>
      </c>
      <c r="AP175" s="423"/>
      <c r="AQ175" s="423"/>
      <c r="AR175" s="423"/>
      <c r="AS175" s="423"/>
      <c r="AV175" s="410"/>
      <c r="AW175" s="412"/>
    </row>
    <row r="176" spans="1:49" s="41" customFormat="1" ht="12.75" hidden="1" customHeight="1">
      <c r="A176" s="244"/>
      <c r="B176" s="245"/>
      <c r="C176" s="951"/>
      <c r="D176" s="951"/>
      <c r="E176" s="967"/>
      <c r="F176" s="967"/>
      <c r="G176" s="967"/>
      <c r="H176" s="968"/>
      <c r="I176" s="968"/>
      <c r="J176" s="968"/>
      <c r="K176" s="92"/>
      <c r="L176" s="44"/>
      <c r="M176" s="282"/>
      <c r="N176" s="969"/>
      <c r="O176" s="969"/>
      <c r="P176" s="98"/>
      <c r="Q176" s="99"/>
      <c r="R176" s="950"/>
      <c r="S176" s="950"/>
      <c r="T176" s="950"/>
      <c r="U176" s="950"/>
      <c r="V176" s="44"/>
      <c r="W176" s="44"/>
      <c r="X176" s="951"/>
      <c r="Y176" s="951"/>
      <c r="Z176" s="98"/>
      <c r="AA176" s="99"/>
      <c r="AB176" s="950"/>
      <c r="AC176" s="950"/>
      <c r="AD176" s="950"/>
      <c r="AE176" s="950"/>
      <c r="AI176" s="41">
        <v>55.274999999999999</v>
      </c>
      <c r="AJ176" s="41" t="s">
        <v>2828</v>
      </c>
      <c r="AK176" s="41">
        <v>7.7839999999999998</v>
      </c>
      <c r="AL176" s="41" t="s">
        <v>2830</v>
      </c>
      <c r="AM176" s="41">
        <v>1000</v>
      </c>
      <c r="AN176" s="41" t="s">
        <v>2829</v>
      </c>
      <c r="AO176" s="423">
        <v>0.43026059999999994</v>
      </c>
      <c r="AP176" s="423"/>
      <c r="AQ176" s="423"/>
      <c r="AR176" s="423"/>
      <c r="AS176" s="423"/>
      <c r="AV176" s="410"/>
      <c r="AW176" s="412"/>
    </row>
    <row r="177" spans="1:49" s="41" customFormat="1" ht="12.75" hidden="1" customHeight="1">
      <c r="A177" s="244"/>
      <c r="B177" s="245"/>
      <c r="C177" s="951"/>
      <c r="D177" s="951"/>
      <c r="E177" s="967"/>
      <c r="F177" s="967"/>
      <c r="G177" s="967"/>
      <c r="H177" s="968"/>
      <c r="I177" s="968"/>
      <c r="J177" s="968"/>
      <c r="K177" s="92"/>
      <c r="L177" s="44"/>
      <c r="M177" s="282"/>
      <c r="N177" s="969"/>
      <c r="O177" s="969"/>
      <c r="P177" s="98"/>
      <c r="Q177" s="99"/>
      <c r="R177" s="950"/>
      <c r="S177" s="950"/>
      <c r="T177" s="950"/>
      <c r="U177" s="950"/>
      <c r="V177" s="44"/>
      <c r="W177" s="44"/>
      <c r="X177" s="951"/>
      <c r="Y177" s="951"/>
      <c r="Z177" s="98"/>
      <c r="AA177" s="99"/>
      <c r="AB177" s="950"/>
      <c r="AC177" s="950"/>
      <c r="AD177" s="950"/>
      <c r="AE177" s="950"/>
      <c r="AI177" s="41">
        <v>55.274999999999999</v>
      </c>
      <c r="AJ177" s="41" t="s">
        <v>2828</v>
      </c>
      <c r="AK177" s="41">
        <v>7.7839999999999998</v>
      </c>
      <c r="AL177" s="41" t="s">
        <v>2830</v>
      </c>
      <c r="AM177" s="41">
        <v>1000</v>
      </c>
      <c r="AN177" s="41" t="s">
        <v>2829</v>
      </c>
      <c r="AO177" s="423">
        <v>0.43026059999999994</v>
      </c>
      <c r="AP177" s="423"/>
      <c r="AQ177" s="423"/>
      <c r="AR177" s="423"/>
      <c r="AS177" s="423"/>
      <c r="AV177" s="410"/>
      <c r="AW177" s="412"/>
    </row>
    <row r="178" spans="1:49" s="41" customFormat="1" ht="12.75" hidden="1" customHeight="1">
      <c r="A178" s="244"/>
      <c r="B178" s="245"/>
      <c r="C178" s="951"/>
      <c r="D178" s="951"/>
      <c r="E178" s="967"/>
      <c r="F178" s="967"/>
      <c r="G178" s="967"/>
      <c r="H178" s="968"/>
      <c r="I178" s="968"/>
      <c r="J178" s="968"/>
      <c r="K178" s="92"/>
      <c r="L178" s="44"/>
      <c r="M178" s="282"/>
      <c r="N178" s="969"/>
      <c r="O178" s="969"/>
      <c r="P178" s="98"/>
      <c r="Q178" s="99"/>
      <c r="R178" s="950"/>
      <c r="S178" s="950"/>
      <c r="T178" s="950"/>
      <c r="U178" s="950"/>
      <c r="V178" s="44"/>
      <c r="W178" s="44"/>
      <c r="X178" s="951"/>
      <c r="Y178" s="951"/>
      <c r="Z178" s="98"/>
      <c r="AA178" s="99"/>
      <c r="AB178" s="950"/>
      <c r="AC178" s="950"/>
      <c r="AD178" s="950"/>
      <c r="AE178" s="950"/>
      <c r="AI178" s="41">
        <v>55.274999999999999</v>
      </c>
      <c r="AJ178" s="41" t="s">
        <v>2828</v>
      </c>
      <c r="AK178" s="41">
        <v>7.7839999999999998</v>
      </c>
      <c r="AL178" s="41" t="s">
        <v>2830</v>
      </c>
      <c r="AM178" s="41">
        <v>1000</v>
      </c>
      <c r="AN178" s="41" t="s">
        <v>2829</v>
      </c>
      <c r="AO178" s="423">
        <v>0.43026059999999994</v>
      </c>
      <c r="AP178" s="423"/>
      <c r="AQ178" s="423"/>
      <c r="AR178" s="423"/>
      <c r="AS178" s="423"/>
      <c r="AV178" s="410"/>
      <c r="AW178" s="412"/>
    </row>
    <row r="179" spans="1:49" s="41" customFormat="1" ht="12.75" hidden="1" customHeight="1">
      <c r="A179" s="244"/>
      <c r="B179" s="245"/>
      <c r="C179" s="951"/>
      <c r="D179" s="951"/>
      <c r="E179" s="967"/>
      <c r="F179" s="967"/>
      <c r="G179" s="967"/>
      <c r="H179" s="968"/>
      <c r="I179" s="968"/>
      <c r="J179" s="968"/>
      <c r="K179" s="92"/>
      <c r="L179" s="44"/>
      <c r="M179" s="282"/>
      <c r="N179" s="969"/>
      <c r="O179" s="969"/>
      <c r="P179" s="98"/>
      <c r="Q179" s="99"/>
      <c r="R179" s="950"/>
      <c r="S179" s="950"/>
      <c r="T179" s="950"/>
      <c r="U179" s="950"/>
      <c r="V179" s="44"/>
      <c r="W179" s="44"/>
      <c r="X179" s="951"/>
      <c r="Y179" s="951"/>
      <c r="Z179" s="98"/>
      <c r="AA179" s="99"/>
      <c r="AB179" s="950"/>
      <c r="AC179" s="950"/>
      <c r="AD179" s="950"/>
      <c r="AE179" s="950"/>
      <c r="AI179" s="41">
        <v>55.274999999999999</v>
      </c>
      <c r="AJ179" s="41" t="s">
        <v>2828</v>
      </c>
      <c r="AK179" s="41">
        <v>7.7839999999999998</v>
      </c>
      <c r="AL179" s="41" t="s">
        <v>2830</v>
      </c>
      <c r="AM179" s="41">
        <v>1000</v>
      </c>
      <c r="AN179" s="41" t="s">
        <v>2829</v>
      </c>
      <c r="AO179" s="423">
        <v>0.43026059999999994</v>
      </c>
      <c r="AP179" s="423"/>
      <c r="AQ179" s="423"/>
      <c r="AR179" s="423"/>
      <c r="AS179" s="423"/>
      <c r="AV179" s="410"/>
      <c r="AW179" s="412"/>
    </row>
    <row r="180" spans="1:49" s="41" customFormat="1" ht="12.75" hidden="1" customHeight="1">
      <c r="A180" s="244"/>
      <c r="B180" s="245"/>
      <c r="C180" s="951"/>
      <c r="D180" s="951"/>
      <c r="E180" s="967"/>
      <c r="F180" s="967"/>
      <c r="G180" s="967"/>
      <c r="H180" s="968"/>
      <c r="I180" s="968"/>
      <c r="J180" s="968"/>
      <c r="K180" s="92"/>
      <c r="L180" s="44"/>
      <c r="M180" s="282"/>
      <c r="N180" s="969"/>
      <c r="O180" s="969"/>
      <c r="P180" s="98"/>
      <c r="Q180" s="99"/>
      <c r="R180" s="950"/>
      <c r="S180" s="950"/>
      <c r="T180" s="950"/>
      <c r="U180" s="950"/>
      <c r="V180" s="44"/>
      <c r="W180" s="44"/>
      <c r="X180" s="951"/>
      <c r="Y180" s="951"/>
      <c r="Z180" s="98"/>
      <c r="AA180" s="99"/>
      <c r="AB180" s="950"/>
      <c r="AC180" s="950"/>
      <c r="AD180" s="950"/>
      <c r="AE180" s="950"/>
      <c r="AI180" s="41">
        <v>55.274999999999999</v>
      </c>
      <c r="AJ180" s="41" t="s">
        <v>2828</v>
      </c>
      <c r="AK180" s="41">
        <v>7.7839999999999998</v>
      </c>
      <c r="AL180" s="41" t="s">
        <v>2830</v>
      </c>
      <c r="AM180" s="41">
        <v>1000</v>
      </c>
      <c r="AN180" s="41" t="s">
        <v>2829</v>
      </c>
      <c r="AO180" s="423">
        <v>0.43026059999999994</v>
      </c>
      <c r="AP180" s="423"/>
      <c r="AQ180" s="423"/>
      <c r="AR180" s="423"/>
      <c r="AS180" s="423"/>
      <c r="AV180" s="410"/>
      <c r="AW180" s="412"/>
    </row>
    <row r="181" spans="1:49" s="41" customFormat="1" ht="12.75" hidden="1" customHeight="1">
      <c r="A181" s="244"/>
      <c r="B181" s="245"/>
      <c r="C181" s="951"/>
      <c r="D181" s="951"/>
      <c r="E181" s="967"/>
      <c r="F181" s="967"/>
      <c r="G181" s="967"/>
      <c r="H181" s="968"/>
      <c r="I181" s="968"/>
      <c r="J181" s="968"/>
      <c r="K181" s="92"/>
      <c r="L181" s="44"/>
      <c r="M181" s="282"/>
      <c r="N181" s="969"/>
      <c r="O181" s="969"/>
      <c r="P181" s="98"/>
      <c r="Q181" s="99"/>
      <c r="R181" s="950"/>
      <c r="S181" s="950"/>
      <c r="T181" s="950"/>
      <c r="U181" s="950"/>
      <c r="V181" s="44"/>
      <c r="W181" s="44"/>
      <c r="X181" s="951"/>
      <c r="Y181" s="951"/>
      <c r="Z181" s="98"/>
      <c r="AA181" s="99"/>
      <c r="AB181" s="950"/>
      <c r="AC181" s="950"/>
      <c r="AD181" s="950"/>
      <c r="AE181" s="950"/>
      <c r="AI181" s="41">
        <v>55.274999999999999</v>
      </c>
      <c r="AJ181" s="41" t="s">
        <v>2828</v>
      </c>
      <c r="AK181" s="41">
        <v>7.7839999999999998</v>
      </c>
      <c r="AL181" s="41" t="s">
        <v>2830</v>
      </c>
      <c r="AM181" s="41">
        <v>1000</v>
      </c>
      <c r="AN181" s="41" t="s">
        <v>2829</v>
      </c>
      <c r="AO181" s="423">
        <v>0.43026059999999994</v>
      </c>
      <c r="AP181" s="423"/>
      <c r="AQ181" s="423"/>
      <c r="AR181" s="423"/>
      <c r="AS181" s="423"/>
      <c r="AV181" s="410"/>
      <c r="AW181" s="412"/>
    </row>
    <row r="182" spans="1:49" s="41" customFormat="1" ht="12.75" hidden="1" customHeight="1">
      <c r="A182" s="244"/>
      <c r="B182" s="245"/>
      <c r="C182" s="951"/>
      <c r="D182" s="951"/>
      <c r="E182" s="967"/>
      <c r="F182" s="967"/>
      <c r="G182" s="967"/>
      <c r="H182" s="968"/>
      <c r="I182" s="968"/>
      <c r="J182" s="968"/>
      <c r="K182" s="92"/>
      <c r="L182" s="44"/>
      <c r="M182" s="282"/>
      <c r="N182" s="969"/>
      <c r="O182" s="969"/>
      <c r="P182" s="98"/>
      <c r="Q182" s="99"/>
      <c r="R182" s="950"/>
      <c r="S182" s="950"/>
      <c r="T182" s="950"/>
      <c r="U182" s="950"/>
      <c r="V182" s="44"/>
      <c r="W182" s="44"/>
      <c r="X182" s="951"/>
      <c r="Y182" s="951"/>
      <c r="Z182" s="98"/>
      <c r="AA182" s="99"/>
      <c r="AB182" s="950"/>
      <c r="AC182" s="950"/>
      <c r="AD182" s="950"/>
      <c r="AE182" s="950"/>
      <c r="AI182" s="41">
        <v>55.274999999999999</v>
      </c>
      <c r="AJ182" s="41" t="s">
        <v>2828</v>
      </c>
      <c r="AK182" s="41">
        <v>7.7839999999999998</v>
      </c>
      <c r="AL182" s="41" t="s">
        <v>2830</v>
      </c>
      <c r="AM182" s="41">
        <v>1000</v>
      </c>
      <c r="AN182" s="41" t="s">
        <v>2829</v>
      </c>
      <c r="AO182" s="423">
        <v>0.43026059999999994</v>
      </c>
      <c r="AP182" s="423"/>
      <c r="AQ182" s="423"/>
      <c r="AR182" s="423"/>
      <c r="AS182" s="423"/>
      <c r="AV182" s="410"/>
      <c r="AW182" s="412"/>
    </row>
    <row r="183" spans="1:49" s="41" customFormat="1" ht="12.75" hidden="1" customHeight="1">
      <c r="A183" s="244"/>
      <c r="B183" s="245"/>
      <c r="C183" s="951"/>
      <c r="D183" s="951"/>
      <c r="E183" s="967"/>
      <c r="F183" s="967"/>
      <c r="G183" s="967"/>
      <c r="H183" s="968"/>
      <c r="I183" s="968"/>
      <c r="J183" s="968"/>
      <c r="K183" s="92"/>
      <c r="L183" s="44"/>
      <c r="M183" s="282"/>
      <c r="N183" s="969"/>
      <c r="O183" s="969"/>
      <c r="P183" s="98"/>
      <c r="Q183" s="99"/>
      <c r="R183" s="950"/>
      <c r="S183" s="950"/>
      <c r="T183" s="950"/>
      <c r="U183" s="950"/>
      <c r="V183" s="44"/>
      <c r="W183" s="44"/>
      <c r="X183" s="951"/>
      <c r="Y183" s="951"/>
      <c r="Z183" s="98"/>
      <c r="AA183" s="99"/>
      <c r="AB183" s="950"/>
      <c r="AC183" s="950"/>
      <c r="AD183" s="950"/>
      <c r="AE183" s="950"/>
      <c r="AI183" s="41">
        <v>55.274999999999999</v>
      </c>
      <c r="AJ183" s="41" t="s">
        <v>2828</v>
      </c>
      <c r="AK183" s="41">
        <v>7.7839999999999998</v>
      </c>
      <c r="AL183" s="41" t="s">
        <v>2830</v>
      </c>
      <c r="AM183" s="41">
        <v>1000</v>
      </c>
      <c r="AN183" s="41" t="s">
        <v>2829</v>
      </c>
      <c r="AO183" s="423">
        <v>0.43026059999999994</v>
      </c>
      <c r="AP183" s="423"/>
      <c r="AQ183" s="423"/>
      <c r="AR183" s="423"/>
      <c r="AS183" s="423"/>
      <c r="AV183" s="410"/>
      <c r="AW183" s="412"/>
    </row>
    <row r="184" spans="1:49" s="41" customFormat="1" ht="12.75" hidden="1" customHeight="1">
      <c r="A184" s="244"/>
      <c r="B184" s="245"/>
      <c r="C184" s="951"/>
      <c r="D184" s="951"/>
      <c r="E184" s="967"/>
      <c r="F184" s="967"/>
      <c r="G184" s="967"/>
      <c r="H184" s="968"/>
      <c r="I184" s="968"/>
      <c r="J184" s="968"/>
      <c r="K184" s="92"/>
      <c r="L184" s="44"/>
      <c r="M184" s="282"/>
      <c r="N184" s="969"/>
      <c r="O184" s="969"/>
      <c r="P184" s="98"/>
      <c r="Q184" s="99"/>
      <c r="R184" s="950"/>
      <c r="S184" s="950"/>
      <c r="T184" s="950"/>
      <c r="U184" s="950"/>
      <c r="V184" s="44"/>
      <c r="W184" s="44"/>
      <c r="X184" s="951"/>
      <c r="Y184" s="951"/>
      <c r="Z184" s="98"/>
      <c r="AA184" s="99"/>
      <c r="AB184" s="950"/>
      <c r="AC184" s="950"/>
      <c r="AD184" s="950"/>
      <c r="AE184" s="950"/>
      <c r="AI184" s="41">
        <v>55.274999999999999</v>
      </c>
      <c r="AJ184" s="41" t="s">
        <v>2828</v>
      </c>
      <c r="AK184" s="41">
        <v>7.7839999999999998</v>
      </c>
      <c r="AL184" s="41" t="s">
        <v>2830</v>
      </c>
      <c r="AM184" s="41">
        <v>1000</v>
      </c>
      <c r="AN184" s="41" t="s">
        <v>2829</v>
      </c>
      <c r="AO184" s="423">
        <v>0.43026059999999994</v>
      </c>
      <c r="AP184" s="423"/>
      <c r="AQ184" s="423"/>
      <c r="AR184" s="423"/>
      <c r="AS184" s="423"/>
      <c r="AV184" s="410"/>
      <c r="AW184" s="412"/>
    </row>
    <row r="185" spans="1:49" s="41" customFormat="1" ht="12.75" hidden="1" customHeight="1">
      <c r="A185" s="244"/>
      <c r="B185" s="245"/>
      <c r="C185" s="951"/>
      <c r="D185" s="951"/>
      <c r="E185" s="967"/>
      <c r="F185" s="967"/>
      <c r="G185" s="967"/>
      <c r="H185" s="968"/>
      <c r="I185" s="968"/>
      <c r="J185" s="968"/>
      <c r="K185" s="92"/>
      <c r="L185" s="44"/>
      <c r="M185" s="282"/>
      <c r="N185" s="969"/>
      <c r="O185" s="969"/>
      <c r="P185" s="98"/>
      <c r="Q185" s="99"/>
      <c r="R185" s="950"/>
      <c r="S185" s="950"/>
      <c r="T185" s="950"/>
      <c r="U185" s="950"/>
      <c r="V185" s="44"/>
      <c r="W185" s="44"/>
      <c r="X185" s="951"/>
      <c r="Y185" s="951"/>
      <c r="Z185" s="98"/>
      <c r="AA185" s="99"/>
      <c r="AB185" s="950"/>
      <c r="AC185" s="950"/>
      <c r="AD185" s="950"/>
      <c r="AE185" s="950"/>
      <c r="AI185" s="41">
        <v>55.274999999999999</v>
      </c>
      <c r="AJ185" s="41" t="s">
        <v>2828</v>
      </c>
      <c r="AK185" s="41">
        <v>7.7839999999999998</v>
      </c>
      <c r="AL185" s="41" t="s">
        <v>2830</v>
      </c>
      <c r="AM185" s="41">
        <v>1000</v>
      </c>
      <c r="AN185" s="41" t="s">
        <v>2829</v>
      </c>
      <c r="AO185" s="423">
        <v>0.43026059999999994</v>
      </c>
      <c r="AP185" s="423"/>
      <c r="AQ185" s="423"/>
      <c r="AR185" s="423"/>
      <c r="AS185" s="423"/>
      <c r="AV185" s="410"/>
      <c r="AW185" s="412"/>
    </row>
    <row r="186" spans="1:49" s="41" customFormat="1" ht="12.75" hidden="1" customHeight="1">
      <c r="A186" s="244"/>
      <c r="B186" s="245"/>
      <c r="C186" s="951"/>
      <c r="D186" s="951"/>
      <c r="E186" s="967"/>
      <c r="F186" s="967"/>
      <c r="G186" s="967"/>
      <c r="H186" s="968"/>
      <c r="I186" s="968"/>
      <c r="J186" s="968"/>
      <c r="K186" s="92"/>
      <c r="L186" s="44"/>
      <c r="M186" s="282"/>
      <c r="N186" s="969"/>
      <c r="O186" s="969"/>
      <c r="P186" s="98"/>
      <c r="Q186" s="99"/>
      <c r="R186" s="950"/>
      <c r="S186" s="950"/>
      <c r="T186" s="950"/>
      <c r="U186" s="950"/>
      <c r="V186" s="44"/>
      <c r="W186" s="44"/>
      <c r="X186" s="951"/>
      <c r="Y186" s="951"/>
      <c r="Z186" s="98"/>
      <c r="AA186" s="99"/>
      <c r="AB186" s="950"/>
      <c r="AC186" s="950"/>
      <c r="AD186" s="950"/>
      <c r="AE186" s="950"/>
      <c r="AI186" s="41">
        <v>55.274999999999999</v>
      </c>
      <c r="AJ186" s="41" t="s">
        <v>2828</v>
      </c>
      <c r="AK186" s="41">
        <v>7.7839999999999998</v>
      </c>
      <c r="AL186" s="41" t="s">
        <v>2830</v>
      </c>
      <c r="AM186" s="41">
        <v>1000</v>
      </c>
      <c r="AN186" s="41" t="s">
        <v>2829</v>
      </c>
      <c r="AO186" s="423">
        <v>0.43026059999999994</v>
      </c>
      <c r="AP186" s="423"/>
      <c r="AQ186" s="423"/>
      <c r="AR186" s="423"/>
      <c r="AS186" s="423"/>
      <c r="AV186" s="410"/>
      <c r="AW186" s="412"/>
    </row>
    <row r="187" spans="1:49" s="41" customFormat="1" ht="12.75" hidden="1" customHeight="1">
      <c r="A187" s="244"/>
      <c r="B187" s="245"/>
      <c r="C187" s="951"/>
      <c r="D187" s="951"/>
      <c r="E187" s="967"/>
      <c r="F187" s="967"/>
      <c r="G187" s="967"/>
      <c r="H187" s="968"/>
      <c r="I187" s="968"/>
      <c r="J187" s="968"/>
      <c r="K187" s="92"/>
      <c r="L187" s="44"/>
      <c r="M187" s="282"/>
      <c r="N187" s="969"/>
      <c r="O187" s="969"/>
      <c r="P187" s="98"/>
      <c r="Q187" s="99"/>
      <c r="R187" s="950"/>
      <c r="S187" s="950"/>
      <c r="T187" s="950"/>
      <c r="U187" s="950"/>
      <c r="V187" s="44"/>
      <c r="W187" s="44"/>
      <c r="X187" s="951"/>
      <c r="Y187" s="951"/>
      <c r="Z187" s="98"/>
      <c r="AA187" s="99"/>
      <c r="AB187" s="950"/>
      <c r="AC187" s="950"/>
      <c r="AD187" s="950"/>
      <c r="AE187" s="950"/>
      <c r="AI187" s="41">
        <v>55.274999999999999</v>
      </c>
      <c r="AJ187" s="41" t="s">
        <v>2828</v>
      </c>
      <c r="AK187" s="41">
        <v>7.7839999999999998</v>
      </c>
      <c r="AL187" s="41" t="s">
        <v>2830</v>
      </c>
      <c r="AM187" s="41">
        <v>1000</v>
      </c>
      <c r="AN187" s="41" t="s">
        <v>2829</v>
      </c>
      <c r="AO187" s="423">
        <v>0.43026059999999994</v>
      </c>
      <c r="AP187" s="423"/>
      <c r="AQ187" s="423"/>
      <c r="AR187" s="423"/>
      <c r="AS187" s="423"/>
      <c r="AV187" s="410"/>
      <c r="AW187" s="412"/>
    </row>
    <row r="188" spans="1:49" s="41" customFormat="1" ht="12.75" hidden="1" customHeight="1">
      <c r="A188" s="244"/>
      <c r="B188" s="245"/>
      <c r="C188" s="951"/>
      <c r="D188" s="951"/>
      <c r="E188" s="967"/>
      <c r="F188" s="967"/>
      <c r="G188" s="967"/>
      <c r="H188" s="968"/>
      <c r="I188" s="968"/>
      <c r="J188" s="968"/>
      <c r="K188" s="92"/>
      <c r="L188" s="44"/>
      <c r="M188" s="282"/>
      <c r="N188" s="969"/>
      <c r="O188" s="969"/>
      <c r="P188" s="98"/>
      <c r="Q188" s="99"/>
      <c r="R188" s="950"/>
      <c r="S188" s="950"/>
      <c r="T188" s="950"/>
      <c r="U188" s="950"/>
      <c r="V188" s="44"/>
      <c r="W188" s="44"/>
      <c r="X188" s="951"/>
      <c r="Y188" s="951"/>
      <c r="Z188" s="98"/>
      <c r="AA188" s="99"/>
      <c r="AB188" s="950"/>
      <c r="AC188" s="950"/>
      <c r="AD188" s="950"/>
      <c r="AE188" s="950"/>
      <c r="AI188" s="41">
        <v>55.274999999999999</v>
      </c>
      <c r="AJ188" s="41" t="s">
        <v>2828</v>
      </c>
      <c r="AK188" s="41">
        <v>7.7839999999999998</v>
      </c>
      <c r="AL188" s="41" t="s">
        <v>2830</v>
      </c>
      <c r="AM188" s="41">
        <v>1000</v>
      </c>
      <c r="AN188" s="41" t="s">
        <v>2829</v>
      </c>
      <c r="AO188" s="423">
        <v>0.43026059999999994</v>
      </c>
      <c r="AP188" s="423"/>
      <c r="AQ188" s="423"/>
      <c r="AR188" s="423"/>
      <c r="AS188" s="423"/>
      <c r="AV188" s="410"/>
      <c r="AW188" s="412"/>
    </row>
    <row r="189" spans="1:49" s="41" customFormat="1" ht="12.75" hidden="1" customHeight="1">
      <c r="A189" s="244"/>
      <c r="B189" s="245"/>
      <c r="C189" s="951"/>
      <c r="D189" s="951"/>
      <c r="E189" s="967"/>
      <c r="F189" s="967"/>
      <c r="G189" s="967"/>
      <c r="H189" s="968"/>
      <c r="I189" s="968"/>
      <c r="J189" s="968"/>
      <c r="K189" s="92"/>
      <c r="L189" s="44"/>
      <c r="M189" s="282"/>
      <c r="N189" s="969"/>
      <c r="O189" s="969"/>
      <c r="P189" s="98"/>
      <c r="Q189" s="99"/>
      <c r="R189" s="950"/>
      <c r="S189" s="950"/>
      <c r="T189" s="950"/>
      <c r="U189" s="950"/>
      <c r="V189" s="44"/>
      <c r="W189" s="44"/>
      <c r="X189" s="951"/>
      <c r="Y189" s="951"/>
      <c r="Z189" s="98"/>
      <c r="AA189" s="99"/>
      <c r="AB189" s="950"/>
      <c r="AC189" s="950"/>
      <c r="AD189" s="950"/>
      <c r="AE189" s="950"/>
      <c r="AI189" s="41">
        <v>55.274999999999999</v>
      </c>
      <c r="AJ189" s="41" t="s">
        <v>2828</v>
      </c>
      <c r="AK189" s="41">
        <v>7.7839999999999998</v>
      </c>
      <c r="AL189" s="41" t="s">
        <v>2830</v>
      </c>
      <c r="AM189" s="41">
        <v>1000</v>
      </c>
      <c r="AN189" s="41" t="s">
        <v>2829</v>
      </c>
      <c r="AO189" s="423">
        <v>0.43026059999999994</v>
      </c>
      <c r="AP189" s="423"/>
      <c r="AQ189" s="423"/>
      <c r="AR189" s="423"/>
      <c r="AS189" s="423"/>
      <c r="AV189" s="410"/>
      <c r="AW189" s="412"/>
    </row>
    <row r="190" spans="1:49" s="41" customFormat="1" ht="12.75" hidden="1" customHeight="1">
      <c r="A190" s="244"/>
      <c r="B190" s="245"/>
      <c r="C190" s="951"/>
      <c r="D190" s="951"/>
      <c r="E190" s="967"/>
      <c r="F190" s="967"/>
      <c r="G190" s="967"/>
      <c r="H190" s="968"/>
      <c r="I190" s="968"/>
      <c r="J190" s="968"/>
      <c r="K190" s="92"/>
      <c r="L190" s="44"/>
      <c r="M190" s="282"/>
      <c r="N190" s="969"/>
      <c r="O190" s="969"/>
      <c r="P190" s="98"/>
      <c r="Q190" s="99"/>
      <c r="R190" s="950"/>
      <c r="S190" s="950"/>
      <c r="T190" s="950"/>
      <c r="U190" s="950"/>
      <c r="V190" s="44"/>
      <c r="W190" s="44"/>
      <c r="X190" s="951"/>
      <c r="Y190" s="951"/>
      <c r="Z190" s="98"/>
      <c r="AA190" s="99"/>
      <c r="AB190" s="950"/>
      <c r="AC190" s="950"/>
      <c r="AD190" s="950"/>
      <c r="AE190" s="950"/>
      <c r="AI190" s="41">
        <v>55.274999999999999</v>
      </c>
      <c r="AJ190" s="41" t="s">
        <v>2828</v>
      </c>
      <c r="AK190" s="41">
        <v>7.7839999999999998</v>
      </c>
      <c r="AL190" s="41" t="s">
        <v>2830</v>
      </c>
      <c r="AM190" s="41">
        <v>1000</v>
      </c>
      <c r="AN190" s="41" t="s">
        <v>2829</v>
      </c>
      <c r="AO190" s="423">
        <v>0.43026059999999994</v>
      </c>
      <c r="AP190" s="423"/>
      <c r="AQ190" s="423"/>
      <c r="AR190" s="423"/>
      <c r="AS190" s="423"/>
      <c r="AV190" s="410"/>
      <c r="AW190" s="412"/>
    </row>
    <row r="191" spans="1:49" s="41" customFormat="1" ht="12.75" hidden="1" customHeight="1">
      <c r="A191" s="244"/>
      <c r="B191" s="245"/>
      <c r="C191" s="951"/>
      <c r="D191" s="951"/>
      <c r="E191" s="967"/>
      <c r="F191" s="967"/>
      <c r="G191" s="967"/>
      <c r="H191" s="968"/>
      <c r="I191" s="968"/>
      <c r="J191" s="968"/>
      <c r="K191" s="92"/>
      <c r="L191" s="44"/>
      <c r="M191" s="282"/>
      <c r="N191" s="969"/>
      <c r="O191" s="969"/>
      <c r="P191" s="98"/>
      <c r="Q191" s="99"/>
      <c r="R191" s="950"/>
      <c r="S191" s="950"/>
      <c r="T191" s="950"/>
      <c r="U191" s="950"/>
      <c r="V191" s="44"/>
      <c r="W191" s="44"/>
      <c r="X191" s="951"/>
      <c r="Y191" s="951"/>
      <c r="Z191" s="98"/>
      <c r="AA191" s="99"/>
      <c r="AB191" s="950"/>
      <c r="AC191" s="950"/>
      <c r="AD191" s="950"/>
      <c r="AE191" s="950"/>
      <c r="AI191" s="41">
        <v>55.274999999999999</v>
      </c>
      <c r="AJ191" s="41" t="s">
        <v>2828</v>
      </c>
      <c r="AK191" s="41">
        <v>7.7839999999999998</v>
      </c>
      <c r="AL191" s="41" t="s">
        <v>2830</v>
      </c>
      <c r="AM191" s="41">
        <v>1000</v>
      </c>
      <c r="AN191" s="41" t="s">
        <v>2829</v>
      </c>
      <c r="AO191" s="423">
        <v>0.43026059999999994</v>
      </c>
      <c r="AP191" s="423"/>
      <c r="AQ191" s="423"/>
      <c r="AR191" s="423"/>
      <c r="AS191" s="423"/>
      <c r="AV191" s="410"/>
      <c r="AW191" s="412"/>
    </row>
    <row r="192" spans="1:49" s="41" customFormat="1" ht="12.75" hidden="1" customHeight="1">
      <c r="A192" s="244"/>
      <c r="B192" s="245"/>
      <c r="C192" s="951"/>
      <c r="D192" s="951"/>
      <c r="E192" s="967"/>
      <c r="F192" s="967"/>
      <c r="G192" s="967"/>
      <c r="H192" s="968"/>
      <c r="I192" s="968"/>
      <c r="J192" s="968"/>
      <c r="K192" s="92"/>
      <c r="L192" s="44"/>
      <c r="M192" s="282"/>
      <c r="N192" s="969"/>
      <c r="O192" s="969"/>
      <c r="P192" s="98"/>
      <c r="Q192" s="99"/>
      <c r="R192" s="950"/>
      <c r="S192" s="950"/>
      <c r="T192" s="950"/>
      <c r="U192" s="950"/>
      <c r="V192" s="44"/>
      <c r="W192" s="44"/>
      <c r="X192" s="951"/>
      <c r="Y192" s="951"/>
      <c r="Z192" s="98"/>
      <c r="AA192" s="99"/>
      <c r="AB192" s="950"/>
      <c r="AC192" s="950"/>
      <c r="AD192" s="950"/>
      <c r="AE192" s="950"/>
      <c r="AI192" s="41">
        <v>55.274999999999999</v>
      </c>
      <c r="AJ192" s="41" t="s">
        <v>2828</v>
      </c>
      <c r="AK192" s="41">
        <v>7.7839999999999998</v>
      </c>
      <c r="AL192" s="41" t="s">
        <v>2830</v>
      </c>
      <c r="AM192" s="41">
        <v>1000</v>
      </c>
      <c r="AN192" s="41" t="s">
        <v>2829</v>
      </c>
      <c r="AO192" s="423">
        <v>0.43026059999999994</v>
      </c>
      <c r="AP192" s="423"/>
      <c r="AQ192" s="423"/>
      <c r="AR192" s="423"/>
      <c r="AS192" s="423"/>
      <c r="AV192" s="410"/>
      <c r="AW192" s="412"/>
    </row>
    <row r="193" spans="1:49" s="41" customFormat="1" ht="12.75" hidden="1" customHeight="1">
      <c r="A193" s="244"/>
      <c r="B193" s="245"/>
      <c r="C193" s="951"/>
      <c r="D193" s="951"/>
      <c r="E193" s="967"/>
      <c r="F193" s="967"/>
      <c r="G193" s="967"/>
      <c r="H193" s="968"/>
      <c r="I193" s="968"/>
      <c r="J193" s="968"/>
      <c r="K193" s="92"/>
      <c r="L193" s="44"/>
      <c r="M193" s="282"/>
      <c r="N193" s="969"/>
      <c r="O193" s="969"/>
      <c r="P193" s="98"/>
      <c r="Q193" s="99"/>
      <c r="R193" s="950"/>
      <c r="S193" s="950"/>
      <c r="T193" s="950"/>
      <c r="U193" s="950"/>
      <c r="V193" s="44"/>
      <c r="W193" s="44"/>
      <c r="X193" s="951"/>
      <c r="Y193" s="951"/>
      <c r="Z193" s="98"/>
      <c r="AA193" s="99"/>
      <c r="AB193" s="950"/>
      <c r="AC193" s="950"/>
      <c r="AD193" s="950"/>
      <c r="AE193" s="950"/>
      <c r="AI193" s="41">
        <v>55.274999999999999</v>
      </c>
      <c r="AJ193" s="41" t="s">
        <v>2828</v>
      </c>
      <c r="AK193" s="41">
        <v>7.7839999999999998</v>
      </c>
      <c r="AL193" s="41" t="s">
        <v>2830</v>
      </c>
      <c r="AM193" s="41">
        <v>1000</v>
      </c>
      <c r="AN193" s="41" t="s">
        <v>2829</v>
      </c>
      <c r="AO193" s="423">
        <v>0.43026059999999994</v>
      </c>
      <c r="AP193" s="423"/>
      <c r="AQ193" s="423"/>
      <c r="AR193" s="423"/>
      <c r="AS193" s="423"/>
      <c r="AV193" s="410"/>
      <c r="AW193" s="412"/>
    </row>
    <row r="194" spans="1:49" s="41" customFormat="1" ht="12.75" hidden="1" customHeight="1">
      <c r="A194" s="244"/>
      <c r="B194" s="245"/>
      <c r="C194" s="951"/>
      <c r="D194" s="951"/>
      <c r="E194" s="967"/>
      <c r="F194" s="967"/>
      <c r="G194" s="967"/>
      <c r="H194" s="968"/>
      <c r="I194" s="968"/>
      <c r="J194" s="968"/>
      <c r="K194" s="92"/>
      <c r="L194" s="44"/>
      <c r="M194" s="282"/>
      <c r="N194" s="969"/>
      <c r="O194" s="969"/>
      <c r="P194" s="98"/>
      <c r="Q194" s="99"/>
      <c r="R194" s="950"/>
      <c r="S194" s="950"/>
      <c r="T194" s="950"/>
      <c r="U194" s="950"/>
      <c r="V194" s="44"/>
      <c r="W194" s="44"/>
      <c r="X194" s="951"/>
      <c r="Y194" s="951"/>
      <c r="Z194" s="98"/>
      <c r="AA194" s="99"/>
      <c r="AB194" s="950"/>
      <c r="AC194" s="950"/>
      <c r="AD194" s="950"/>
      <c r="AE194" s="950"/>
      <c r="AI194" s="41">
        <v>55.274999999999999</v>
      </c>
      <c r="AJ194" s="41" t="s">
        <v>2828</v>
      </c>
      <c r="AK194" s="41">
        <v>7.7839999999999998</v>
      </c>
      <c r="AL194" s="41" t="s">
        <v>2830</v>
      </c>
      <c r="AM194" s="41">
        <v>1000</v>
      </c>
      <c r="AN194" s="41" t="s">
        <v>2829</v>
      </c>
      <c r="AO194" s="423">
        <v>0.43026059999999994</v>
      </c>
      <c r="AP194" s="423"/>
      <c r="AQ194" s="423"/>
      <c r="AR194" s="423"/>
      <c r="AS194" s="423"/>
      <c r="AV194" s="410"/>
      <c r="AW194" s="412"/>
    </row>
    <row r="195" spans="1:49" s="41" customFormat="1" ht="12.75" hidden="1" customHeight="1">
      <c r="A195" s="244"/>
      <c r="B195" s="245"/>
      <c r="C195" s="951"/>
      <c r="D195" s="951"/>
      <c r="E195" s="967"/>
      <c r="F195" s="967"/>
      <c r="G195" s="967"/>
      <c r="H195" s="968"/>
      <c r="I195" s="968"/>
      <c r="J195" s="968"/>
      <c r="K195" s="92"/>
      <c r="L195" s="44"/>
      <c r="M195" s="282"/>
      <c r="N195" s="969"/>
      <c r="O195" s="969"/>
      <c r="P195" s="98"/>
      <c r="Q195" s="99"/>
      <c r="R195" s="950"/>
      <c r="S195" s="950"/>
      <c r="T195" s="950"/>
      <c r="U195" s="950"/>
      <c r="V195" s="44"/>
      <c r="W195" s="44"/>
      <c r="X195" s="951"/>
      <c r="Y195" s="951"/>
      <c r="Z195" s="98"/>
      <c r="AA195" s="99"/>
      <c r="AB195" s="950"/>
      <c r="AC195" s="950"/>
      <c r="AD195" s="950"/>
      <c r="AE195" s="950"/>
      <c r="AI195" s="41">
        <v>55.274999999999999</v>
      </c>
      <c r="AJ195" s="41" t="s">
        <v>2828</v>
      </c>
      <c r="AK195" s="41">
        <v>7.7839999999999998</v>
      </c>
      <c r="AL195" s="41" t="s">
        <v>2830</v>
      </c>
      <c r="AM195" s="41">
        <v>1000</v>
      </c>
      <c r="AN195" s="41" t="s">
        <v>2829</v>
      </c>
      <c r="AO195" s="423">
        <v>0.43026059999999994</v>
      </c>
      <c r="AP195" s="423"/>
      <c r="AQ195" s="423"/>
      <c r="AR195" s="423"/>
      <c r="AS195" s="423"/>
      <c r="AV195" s="410"/>
      <c r="AW195" s="412"/>
    </row>
    <row r="196" spans="1:49" s="41" customFormat="1" ht="12.75" hidden="1" customHeight="1">
      <c r="A196" s="244"/>
      <c r="B196" s="245"/>
      <c r="C196" s="951"/>
      <c r="D196" s="951"/>
      <c r="E196" s="967"/>
      <c r="F196" s="967"/>
      <c r="G196" s="967"/>
      <c r="H196" s="968"/>
      <c r="I196" s="968"/>
      <c r="J196" s="968"/>
      <c r="K196" s="92"/>
      <c r="L196" s="44"/>
      <c r="M196" s="282"/>
      <c r="N196" s="969"/>
      <c r="O196" s="969"/>
      <c r="P196" s="98"/>
      <c r="Q196" s="99"/>
      <c r="R196" s="950"/>
      <c r="S196" s="950"/>
      <c r="T196" s="950"/>
      <c r="U196" s="950"/>
      <c r="V196" s="44"/>
      <c r="W196" s="44"/>
      <c r="X196" s="951"/>
      <c r="Y196" s="951"/>
      <c r="Z196" s="98"/>
      <c r="AA196" s="99"/>
      <c r="AB196" s="950"/>
      <c r="AC196" s="950"/>
      <c r="AD196" s="950"/>
      <c r="AE196" s="950"/>
      <c r="AI196" s="41">
        <v>55.274999999999999</v>
      </c>
      <c r="AJ196" s="41" t="s">
        <v>2828</v>
      </c>
      <c r="AK196" s="41">
        <v>7.7839999999999998</v>
      </c>
      <c r="AL196" s="41" t="s">
        <v>2830</v>
      </c>
      <c r="AM196" s="41">
        <v>1000</v>
      </c>
      <c r="AN196" s="41" t="s">
        <v>2829</v>
      </c>
      <c r="AO196" s="423">
        <v>0.43026059999999994</v>
      </c>
      <c r="AP196" s="423"/>
      <c r="AQ196" s="423"/>
      <c r="AR196" s="423"/>
      <c r="AS196" s="423"/>
      <c r="AV196" s="410"/>
      <c r="AW196" s="412"/>
    </row>
    <row r="197" spans="1:49" s="41" customFormat="1" ht="12.75" hidden="1" customHeight="1">
      <c r="A197" s="244"/>
      <c r="B197" s="245"/>
      <c r="C197" s="951"/>
      <c r="D197" s="951"/>
      <c r="E197" s="967"/>
      <c r="F197" s="967"/>
      <c r="G197" s="967"/>
      <c r="H197" s="968"/>
      <c r="I197" s="968"/>
      <c r="J197" s="968"/>
      <c r="K197" s="92"/>
      <c r="L197" s="44"/>
      <c r="M197" s="282"/>
      <c r="N197" s="969"/>
      <c r="O197" s="969"/>
      <c r="P197" s="98"/>
      <c r="Q197" s="99"/>
      <c r="R197" s="950"/>
      <c r="S197" s="950"/>
      <c r="T197" s="950"/>
      <c r="U197" s="950"/>
      <c r="V197" s="44"/>
      <c r="W197" s="44"/>
      <c r="X197" s="951"/>
      <c r="Y197" s="951"/>
      <c r="Z197" s="98"/>
      <c r="AA197" s="99"/>
      <c r="AB197" s="950"/>
      <c r="AC197" s="950"/>
      <c r="AD197" s="950"/>
      <c r="AE197" s="950"/>
      <c r="AI197" s="41">
        <v>55.274999999999999</v>
      </c>
      <c r="AJ197" s="41" t="s">
        <v>2828</v>
      </c>
      <c r="AK197" s="41">
        <v>7.7839999999999998</v>
      </c>
      <c r="AL197" s="41" t="s">
        <v>2830</v>
      </c>
      <c r="AM197" s="41">
        <v>1000</v>
      </c>
      <c r="AN197" s="41" t="s">
        <v>2829</v>
      </c>
      <c r="AO197" s="423">
        <v>0.43026059999999994</v>
      </c>
      <c r="AP197" s="423"/>
      <c r="AQ197" s="423"/>
      <c r="AR197" s="423"/>
      <c r="AS197" s="423"/>
      <c r="AV197" s="410"/>
      <c r="AW197" s="412"/>
    </row>
    <row r="198" spans="1:49" s="41" customFormat="1" ht="12.75" hidden="1" customHeight="1">
      <c r="A198" s="244"/>
      <c r="B198" s="245"/>
      <c r="C198" s="951"/>
      <c r="D198" s="951"/>
      <c r="E198" s="967"/>
      <c r="F198" s="967"/>
      <c r="G198" s="967"/>
      <c r="H198" s="968"/>
      <c r="I198" s="968"/>
      <c r="J198" s="968"/>
      <c r="K198" s="92"/>
      <c r="L198" s="44"/>
      <c r="M198" s="282"/>
      <c r="N198" s="969"/>
      <c r="O198" s="969"/>
      <c r="P198" s="98"/>
      <c r="Q198" s="99"/>
      <c r="R198" s="950"/>
      <c r="S198" s="950"/>
      <c r="T198" s="950"/>
      <c r="U198" s="950"/>
      <c r="V198" s="44"/>
      <c r="W198" s="44"/>
      <c r="X198" s="951"/>
      <c r="Y198" s="951"/>
      <c r="Z198" s="98"/>
      <c r="AA198" s="99"/>
      <c r="AB198" s="950"/>
      <c r="AC198" s="950"/>
      <c r="AD198" s="950"/>
      <c r="AE198" s="950"/>
      <c r="AI198" s="41">
        <v>55.274999999999999</v>
      </c>
      <c r="AJ198" s="41" t="s">
        <v>2828</v>
      </c>
      <c r="AK198" s="41">
        <v>7.7839999999999998</v>
      </c>
      <c r="AL198" s="41" t="s">
        <v>2830</v>
      </c>
      <c r="AM198" s="41">
        <v>1000</v>
      </c>
      <c r="AN198" s="41" t="s">
        <v>2829</v>
      </c>
      <c r="AO198" s="423">
        <v>0.43026059999999994</v>
      </c>
      <c r="AP198" s="423"/>
      <c r="AQ198" s="423"/>
      <c r="AR198" s="423"/>
      <c r="AS198" s="423"/>
      <c r="AV198" s="410"/>
      <c r="AW198" s="412"/>
    </row>
    <row r="199" spans="1:49" s="41" customFormat="1" ht="12.75" hidden="1" customHeight="1">
      <c r="A199" s="244"/>
      <c r="B199" s="245"/>
      <c r="C199" s="951"/>
      <c r="D199" s="951"/>
      <c r="E199" s="967"/>
      <c r="F199" s="967"/>
      <c r="G199" s="967"/>
      <c r="H199" s="968"/>
      <c r="I199" s="968"/>
      <c r="J199" s="968"/>
      <c r="K199" s="92"/>
      <c r="L199" s="44"/>
      <c r="M199" s="282"/>
      <c r="N199" s="969"/>
      <c r="O199" s="969"/>
      <c r="P199" s="98"/>
      <c r="Q199" s="99"/>
      <c r="R199" s="950"/>
      <c r="S199" s="950"/>
      <c r="T199" s="950"/>
      <c r="U199" s="950"/>
      <c r="V199" s="44"/>
      <c r="W199" s="44"/>
      <c r="X199" s="951"/>
      <c r="Y199" s="951"/>
      <c r="Z199" s="98"/>
      <c r="AA199" s="99"/>
      <c r="AB199" s="950"/>
      <c r="AC199" s="950"/>
      <c r="AD199" s="950"/>
      <c r="AE199" s="950"/>
      <c r="AI199" s="41">
        <v>55.274999999999999</v>
      </c>
      <c r="AJ199" s="41" t="s">
        <v>2828</v>
      </c>
      <c r="AK199" s="41">
        <v>7.7839999999999998</v>
      </c>
      <c r="AL199" s="41" t="s">
        <v>2830</v>
      </c>
      <c r="AM199" s="41">
        <v>1000</v>
      </c>
      <c r="AN199" s="41" t="s">
        <v>2829</v>
      </c>
      <c r="AO199" s="423">
        <v>0.43026059999999994</v>
      </c>
      <c r="AP199" s="423"/>
      <c r="AQ199" s="423"/>
      <c r="AR199" s="423"/>
      <c r="AS199" s="423"/>
      <c r="AV199" s="410"/>
      <c r="AW199" s="412"/>
    </row>
    <row r="200" spans="1:49" s="41" customFormat="1" ht="12.75" hidden="1" customHeight="1">
      <c r="A200" s="244"/>
      <c r="B200" s="245"/>
      <c r="C200" s="951"/>
      <c r="D200" s="951"/>
      <c r="E200" s="967"/>
      <c r="F200" s="967"/>
      <c r="G200" s="967"/>
      <c r="H200" s="968"/>
      <c r="I200" s="968"/>
      <c r="J200" s="968"/>
      <c r="K200" s="92"/>
      <c r="L200" s="44"/>
      <c r="M200" s="282"/>
      <c r="N200" s="969"/>
      <c r="O200" s="969"/>
      <c r="P200" s="98"/>
      <c r="Q200" s="99"/>
      <c r="R200" s="950"/>
      <c r="S200" s="950"/>
      <c r="T200" s="950"/>
      <c r="U200" s="950"/>
      <c r="V200" s="44"/>
      <c r="W200" s="44"/>
      <c r="X200" s="951"/>
      <c r="Y200" s="951"/>
      <c r="Z200" s="98"/>
      <c r="AA200" s="99"/>
      <c r="AB200" s="950"/>
      <c r="AC200" s="950"/>
      <c r="AD200" s="950"/>
      <c r="AE200" s="950"/>
      <c r="AI200" s="41">
        <v>55.274999999999999</v>
      </c>
      <c r="AJ200" s="41" t="s">
        <v>2828</v>
      </c>
      <c r="AK200" s="41">
        <v>7.7839999999999998</v>
      </c>
      <c r="AL200" s="41" t="s">
        <v>2830</v>
      </c>
      <c r="AM200" s="41">
        <v>1000</v>
      </c>
      <c r="AN200" s="41" t="s">
        <v>2829</v>
      </c>
      <c r="AO200" s="423">
        <v>0.43026059999999994</v>
      </c>
      <c r="AP200" s="423"/>
      <c r="AQ200" s="423"/>
      <c r="AR200" s="423"/>
      <c r="AS200" s="423"/>
      <c r="AV200" s="410"/>
      <c r="AW200" s="412"/>
    </row>
    <row r="201" spans="1:49" s="28" customFormat="1" ht="15" hidden="1" customHeight="1">
      <c r="AI201" s="28">
        <v>55.274999999999999</v>
      </c>
      <c r="AJ201" s="28" t="s">
        <v>2828</v>
      </c>
      <c r="AK201" s="28">
        <v>7.7839999999999998</v>
      </c>
      <c r="AL201" s="28" t="s">
        <v>2830</v>
      </c>
      <c r="AM201" s="28">
        <v>1000</v>
      </c>
      <c r="AN201" s="28" t="s">
        <v>2829</v>
      </c>
      <c r="AO201" s="422">
        <v>0.43026059999999994</v>
      </c>
      <c r="AP201" s="422"/>
      <c r="AQ201" s="422"/>
      <c r="AR201" s="422"/>
      <c r="AS201" s="422"/>
      <c r="AV201" s="55">
        <v>5</v>
      </c>
      <c r="AW201" s="411">
        <v>55.274999999999999</v>
      </c>
    </row>
    <row r="202" spans="1:49" s="28" customFormat="1" ht="15" hidden="1" customHeight="1">
      <c r="AI202" s="28">
        <v>55.274999999999999</v>
      </c>
      <c r="AJ202" s="28" t="s">
        <v>2828</v>
      </c>
      <c r="AK202" s="28">
        <v>7.7839999999999998</v>
      </c>
      <c r="AL202" s="28" t="s">
        <v>2830</v>
      </c>
      <c r="AM202" s="28">
        <v>1000</v>
      </c>
      <c r="AN202" s="28" t="s">
        <v>2829</v>
      </c>
      <c r="AO202" s="422">
        <v>0.43026059999999994</v>
      </c>
      <c r="AP202" s="422"/>
      <c r="AQ202" s="422"/>
      <c r="AR202" s="422"/>
      <c r="AS202" s="422"/>
      <c r="AV202" s="55">
        <v>5</v>
      </c>
      <c r="AW202" s="411">
        <v>55.274999999999999</v>
      </c>
    </row>
    <row r="203" spans="1:49" s="28" customFormat="1" ht="15" hidden="1" customHeight="1">
      <c r="AI203" s="28">
        <v>55.274999999999999</v>
      </c>
      <c r="AJ203" s="28" t="s">
        <v>2828</v>
      </c>
      <c r="AK203" s="28">
        <v>7.7839999999999998</v>
      </c>
      <c r="AL203" s="28" t="s">
        <v>2830</v>
      </c>
      <c r="AM203" s="28">
        <v>1000</v>
      </c>
      <c r="AN203" s="28" t="s">
        <v>2829</v>
      </c>
      <c r="AO203" s="422">
        <v>0.43026059999999994</v>
      </c>
      <c r="AP203" s="422"/>
      <c r="AQ203" s="422"/>
      <c r="AR203" s="422"/>
      <c r="AS203" s="422"/>
      <c r="AV203" s="55">
        <v>5</v>
      </c>
      <c r="AW203" s="411">
        <v>55.274999999999999</v>
      </c>
    </row>
    <row r="204" spans="1:49" s="28" customFormat="1" ht="15" hidden="1" customHeight="1">
      <c r="AI204" s="28">
        <v>55.274999999999999</v>
      </c>
      <c r="AJ204" s="28" t="s">
        <v>2828</v>
      </c>
      <c r="AK204" s="28">
        <v>7.7839999999999998</v>
      </c>
      <c r="AL204" s="28" t="s">
        <v>2830</v>
      </c>
      <c r="AM204" s="28">
        <v>1000</v>
      </c>
      <c r="AN204" s="28" t="s">
        <v>2829</v>
      </c>
      <c r="AO204" s="422">
        <v>0.43026059999999994</v>
      </c>
      <c r="AP204" s="422"/>
      <c r="AQ204" s="422"/>
      <c r="AR204" s="422"/>
      <c r="AS204" s="422"/>
      <c r="AV204" s="55">
        <v>5</v>
      </c>
      <c r="AW204" s="411">
        <v>55.274999999999999</v>
      </c>
    </row>
    <row r="205" spans="1:49" s="28" customFormat="1" ht="15" hidden="1" customHeight="1">
      <c r="AI205" s="28">
        <v>55.274999999999999</v>
      </c>
      <c r="AJ205" s="28" t="s">
        <v>2828</v>
      </c>
      <c r="AK205" s="28">
        <v>7.7839999999999998</v>
      </c>
      <c r="AL205" s="28" t="s">
        <v>2830</v>
      </c>
      <c r="AM205" s="28">
        <v>1000</v>
      </c>
      <c r="AN205" s="28" t="s">
        <v>2829</v>
      </c>
      <c r="AO205" s="422">
        <v>0.43026059999999994</v>
      </c>
      <c r="AP205" s="422"/>
      <c r="AQ205" s="422"/>
      <c r="AR205" s="422"/>
      <c r="AS205" s="422"/>
      <c r="AV205" s="55">
        <v>5</v>
      </c>
      <c r="AW205" s="411">
        <v>55.274999999999999</v>
      </c>
    </row>
    <row r="206" spans="1:49" s="28" customFormat="1" ht="15" hidden="1" customHeight="1">
      <c r="AI206" s="28">
        <v>55.274999999999999</v>
      </c>
      <c r="AJ206" s="28" t="s">
        <v>2828</v>
      </c>
      <c r="AK206" s="28">
        <v>7.7839999999999998</v>
      </c>
      <c r="AL206" s="28" t="s">
        <v>2830</v>
      </c>
      <c r="AM206" s="28">
        <v>1000</v>
      </c>
      <c r="AN206" s="28" t="s">
        <v>2829</v>
      </c>
      <c r="AO206" s="422">
        <v>0.43026059999999994</v>
      </c>
      <c r="AP206" s="422"/>
      <c r="AQ206" s="422"/>
      <c r="AR206" s="422"/>
      <c r="AS206" s="422"/>
      <c r="AV206" s="55">
        <v>5</v>
      </c>
      <c r="AW206" s="411">
        <v>55.274999999999999</v>
      </c>
    </row>
    <row r="207" spans="1:49" s="28" customFormat="1" ht="15" hidden="1" customHeight="1">
      <c r="AI207" s="28">
        <v>55.274999999999999</v>
      </c>
      <c r="AJ207" s="28" t="s">
        <v>2828</v>
      </c>
      <c r="AK207" s="28">
        <v>7.7839999999999998</v>
      </c>
      <c r="AL207" s="28" t="s">
        <v>2830</v>
      </c>
      <c r="AM207" s="28">
        <v>1000</v>
      </c>
      <c r="AN207" s="28" t="s">
        <v>2829</v>
      </c>
      <c r="AO207" s="422">
        <v>0.43026059999999994</v>
      </c>
      <c r="AP207" s="422"/>
      <c r="AQ207" s="422"/>
      <c r="AR207" s="422"/>
      <c r="AS207" s="422"/>
      <c r="AV207" s="55">
        <v>5</v>
      </c>
      <c r="AW207" s="411">
        <v>55.274999999999999</v>
      </c>
    </row>
    <row r="208" spans="1:49" s="28" customFormat="1" ht="15" hidden="1" customHeight="1">
      <c r="AI208" s="28">
        <v>55.274999999999999</v>
      </c>
      <c r="AJ208" s="28" t="s">
        <v>2828</v>
      </c>
      <c r="AK208" s="28">
        <v>7.7839999999999998</v>
      </c>
      <c r="AL208" s="28" t="s">
        <v>2830</v>
      </c>
      <c r="AM208" s="28">
        <v>1000</v>
      </c>
      <c r="AN208" s="28" t="s">
        <v>2829</v>
      </c>
      <c r="AO208" s="422">
        <v>0.43026059999999994</v>
      </c>
      <c r="AP208" s="422"/>
      <c r="AQ208" s="422"/>
      <c r="AR208" s="422"/>
      <c r="AS208" s="422"/>
      <c r="AV208" s="55">
        <v>5</v>
      </c>
      <c r="AW208" s="411">
        <v>55.274999999999999</v>
      </c>
    </row>
    <row r="209" spans="1:49" s="28" customFormat="1" ht="15" hidden="1" customHeight="1">
      <c r="AI209" s="28">
        <v>55.274999999999999</v>
      </c>
      <c r="AJ209" s="28" t="s">
        <v>2828</v>
      </c>
      <c r="AK209" s="28">
        <v>7.7839999999999998</v>
      </c>
      <c r="AL209" s="28" t="s">
        <v>2830</v>
      </c>
      <c r="AM209" s="28">
        <v>1000</v>
      </c>
      <c r="AN209" s="28" t="s">
        <v>2829</v>
      </c>
      <c r="AO209" s="422">
        <v>0.43026059999999994</v>
      </c>
      <c r="AP209" s="422"/>
      <c r="AQ209" s="422"/>
      <c r="AR209" s="422"/>
      <c r="AS209" s="422"/>
      <c r="AV209" s="55">
        <v>5</v>
      </c>
      <c r="AW209" s="411">
        <v>55.274999999999999</v>
      </c>
    </row>
    <row r="210" spans="1:49" s="28" customFormat="1" ht="15" hidden="1" customHeight="1">
      <c r="AI210" s="28">
        <v>55.274999999999999</v>
      </c>
      <c r="AJ210" s="28" t="s">
        <v>2828</v>
      </c>
      <c r="AK210" s="28">
        <v>7.7839999999999998</v>
      </c>
      <c r="AL210" s="28" t="s">
        <v>2830</v>
      </c>
      <c r="AM210" s="28">
        <v>1000</v>
      </c>
      <c r="AN210" s="28" t="s">
        <v>2829</v>
      </c>
      <c r="AO210" s="422">
        <v>0.43026059999999994</v>
      </c>
      <c r="AP210" s="422"/>
      <c r="AQ210" s="422"/>
      <c r="AR210" s="422"/>
      <c r="AS210" s="422"/>
      <c r="AV210" s="55">
        <v>5</v>
      </c>
      <c r="AW210" s="411">
        <v>55.274999999999999</v>
      </c>
    </row>
    <row r="211" spans="1:49" s="28" customFormat="1" ht="15" hidden="1" customHeight="1">
      <c r="AI211" s="28">
        <v>55.274999999999999</v>
      </c>
      <c r="AJ211" s="28" t="s">
        <v>2828</v>
      </c>
      <c r="AK211" s="28">
        <v>7.7839999999999998</v>
      </c>
      <c r="AL211" s="28" t="s">
        <v>2830</v>
      </c>
      <c r="AM211" s="28">
        <v>1000</v>
      </c>
      <c r="AN211" s="28" t="s">
        <v>2829</v>
      </c>
      <c r="AO211" s="422">
        <v>0.43026059999999994</v>
      </c>
      <c r="AP211" s="422"/>
      <c r="AQ211" s="422"/>
      <c r="AR211" s="422"/>
      <c r="AS211" s="422"/>
      <c r="AV211" s="55">
        <v>5</v>
      </c>
      <c r="AW211" s="411">
        <v>55.274999999999999</v>
      </c>
    </row>
    <row r="212" spans="1:49" s="28" customFormat="1" ht="15" hidden="1" customHeight="1">
      <c r="AI212" s="28">
        <v>55.274999999999999</v>
      </c>
      <c r="AJ212" s="28" t="s">
        <v>2828</v>
      </c>
      <c r="AK212" s="28">
        <v>7.7839999999999998</v>
      </c>
      <c r="AL212" s="28" t="s">
        <v>2830</v>
      </c>
      <c r="AM212" s="28">
        <v>1000</v>
      </c>
      <c r="AN212" s="28" t="s">
        <v>2829</v>
      </c>
      <c r="AO212" s="422">
        <v>0.43026059999999994</v>
      </c>
      <c r="AP212" s="422"/>
      <c r="AQ212" s="422"/>
      <c r="AR212" s="422"/>
      <c r="AS212" s="422"/>
      <c r="AV212" s="55">
        <v>5</v>
      </c>
      <c r="AW212" s="411">
        <v>55.274999999999999</v>
      </c>
    </row>
    <row r="213" spans="1:49" s="28" customFormat="1" ht="15" hidden="1" customHeight="1">
      <c r="A213" s="28" t="s">
        <v>3024</v>
      </c>
      <c r="H213" s="618">
        <f>SUM(H42:H212)</f>
        <v>0</v>
      </c>
      <c r="J213" s="617"/>
      <c r="M213" s="618"/>
      <c r="AI213" s="28">
        <v>55.274999999999999</v>
      </c>
      <c r="AJ213" s="28" t="s">
        <v>2828</v>
      </c>
      <c r="AK213" s="28">
        <v>7.7839999999999998</v>
      </c>
      <c r="AL213" s="28" t="s">
        <v>2830</v>
      </c>
      <c r="AM213" s="28">
        <v>1000</v>
      </c>
      <c r="AN213" s="28" t="s">
        <v>2829</v>
      </c>
      <c r="AO213" s="422">
        <v>0.43026059999999994</v>
      </c>
      <c r="AP213" s="422"/>
      <c r="AQ213" s="422"/>
      <c r="AR213" s="422"/>
      <c r="AS213" s="422"/>
      <c r="AV213" s="55">
        <v>5</v>
      </c>
      <c r="AW213" s="411">
        <v>55.274999999999999</v>
      </c>
    </row>
    <row r="214" spans="1:49" s="28" customFormat="1" ht="15" hidden="1" customHeight="1">
      <c r="AI214" s="28">
        <v>55.274999999999999</v>
      </c>
      <c r="AJ214" s="28" t="s">
        <v>2828</v>
      </c>
      <c r="AK214" s="28">
        <v>7.7839999999999998</v>
      </c>
      <c r="AL214" s="28" t="s">
        <v>2830</v>
      </c>
      <c r="AM214" s="28">
        <v>1000</v>
      </c>
      <c r="AN214" s="28" t="s">
        <v>2829</v>
      </c>
      <c r="AO214" s="422">
        <v>0.43026059999999994</v>
      </c>
      <c r="AP214" s="422"/>
      <c r="AQ214" s="422"/>
      <c r="AR214" s="422"/>
      <c r="AS214" s="422"/>
      <c r="AV214" s="55">
        <v>5</v>
      </c>
      <c r="AW214" s="411">
        <v>55.274999999999999</v>
      </c>
    </row>
    <row r="215" spans="1:49" s="28" customFormat="1" ht="15" hidden="1" customHeight="1">
      <c r="AI215" s="28">
        <v>55.274999999999999</v>
      </c>
      <c r="AJ215" s="28" t="s">
        <v>2828</v>
      </c>
      <c r="AK215" s="28">
        <v>7.7839999999999998</v>
      </c>
      <c r="AL215" s="28" t="s">
        <v>2830</v>
      </c>
      <c r="AM215" s="28">
        <v>1000</v>
      </c>
      <c r="AN215" s="28" t="s">
        <v>2829</v>
      </c>
      <c r="AO215" s="422">
        <v>0.43026059999999994</v>
      </c>
      <c r="AP215" s="422"/>
      <c r="AQ215" s="422"/>
      <c r="AR215" s="422"/>
      <c r="AS215" s="422"/>
      <c r="AV215" s="55">
        <v>5</v>
      </c>
      <c r="AW215" s="411">
        <v>55.274999999999999</v>
      </c>
    </row>
    <row r="216" spans="1:49" s="28" customFormat="1" ht="15" hidden="1" customHeight="1">
      <c r="AI216" s="28">
        <v>55.274999999999999</v>
      </c>
      <c r="AJ216" s="28" t="s">
        <v>2828</v>
      </c>
      <c r="AK216" s="28">
        <v>7.7839999999999998</v>
      </c>
      <c r="AL216" s="28" t="s">
        <v>2830</v>
      </c>
      <c r="AM216" s="28">
        <v>1000</v>
      </c>
      <c r="AN216" s="28" t="s">
        <v>2829</v>
      </c>
      <c r="AO216" s="422">
        <v>0.43026059999999994</v>
      </c>
      <c r="AP216" s="422"/>
      <c r="AQ216" s="422"/>
      <c r="AR216" s="422"/>
      <c r="AS216" s="422"/>
      <c r="AV216" s="55">
        <v>5</v>
      </c>
      <c r="AW216" s="411">
        <v>55.274999999999999</v>
      </c>
    </row>
    <row r="217" spans="1:49" s="28" customFormat="1" ht="15" hidden="1" customHeight="1">
      <c r="AI217" s="28">
        <v>55.274999999999999</v>
      </c>
      <c r="AJ217" s="28" t="s">
        <v>2828</v>
      </c>
      <c r="AK217" s="28">
        <v>7.7839999999999998</v>
      </c>
      <c r="AL217" s="28" t="s">
        <v>2830</v>
      </c>
      <c r="AM217" s="28">
        <v>1000</v>
      </c>
      <c r="AN217" s="28" t="s">
        <v>2829</v>
      </c>
      <c r="AO217" s="422">
        <v>0.43026059999999994</v>
      </c>
      <c r="AP217" s="422"/>
      <c r="AQ217" s="422"/>
      <c r="AR217" s="422"/>
      <c r="AS217" s="422"/>
      <c r="AV217" s="55">
        <v>5</v>
      </c>
      <c r="AW217" s="411">
        <v>55.274999999999999</v>
      </c>
    </row>
    <row r="218" spans="1:49" s="28" customFormat="1" ht="15" hidden="1" customHeight="1">
      <c r="AI218" s="28">
        <v>55.274999999999999</v>
      </c>
      <c r="AJ218" s="28" t="s">
        <v>2828</v>
      </c>
      <c r="AK218" s="28">
        <v>7.7839999999999998</v>
      </c>
      <c r="AL218" s="28" t="s">
        <v>2830</v>
      </c>
      <c r="AM218" s="28">
        <v>1000</v>
      </c>
      <c r="AN218" s="28" t="s">
        <v>2829</v>
      </c>
      <c r="AO218" s="422">
        <v>0.43026059999999994</v>
      </c>
      <c r="AP218" s="422"/>
      <c r="AQ218" s="422"/>
      <c r="AR218" s="422"/>
      <c r="AS218" s="422"/>
      <c r="AV218" s="55">
        <v>5</v>
      </c>
      <c r="AW218" s="411">
        <v>55.274999999999999</v>
      </c>
    </row>
    <row r="219" spans="1:49" s="28" customFormat="1" ht="15" hidden="1" customHeight="1">
      <c r="AI219" s="28">
        <v>55.274999999999999</v>
      </c>
      <c r="AJ219" s="28" t="s">
        <v>2828</v>
      </c>
      <c r="AK219" s="28">
        <v>7.7839999999999998</v>
      </c>
      <c r="AL219" s="28" t="s">
        <v>2830</v>
      </c>
      <c r="AM219" s="28">
        <v>1000</v>
      </c>
      <c r="AN219" s="28" t="s">
        <v>2829</v>
      </c>
      <c r="AO219" s="422">
        <v>0.43026059999999994</v>
      </c>
      <c r="AP219" s="422"/>
      <c r="AQ219" s="422"/>
      <c r="AR219" s="422"/>
      <c r="AS219" s="422"/>
      <c r="AV219" s="55">
        <v>5</v>
      </c>
      <c r="AW219" s="411">
        <v>55.274999999999999</v>
      </c>
    </row>
    <row r="220" spans="1:49" s="28" customFormat="1" ht="15" hidden="1" customHeight="1">
      <c r="AI220" s="28">
        <v>55.274999999999999</v>
      </c>
      <c r="AJ220" s="28" t="s">
        <v>2828</v>
      </c>
      <c r="AK220" s="28">
        <v>7.7839999999999998</v>
      </c>
      <c r="AL220" s="28" t="s">
        <v>2830</v>
      </c>
      <c r="AM220" s="28">
        <v>1000</v>
      </c>
      <c r="AN220" s="28" t="s">
        <v>2829</v>
      </c>
      <c r="AO220" s="422">
        <v>0.43026059999999994</v>
      </c>
      <c r="AP220" s="422"/>
      <c r="AQ220" s="422"/>
      <c r="AR220" s="422"/>
      <c r="AS220" s="422"/>
      <c r="AV220" s="55">
        <v>5</v>
      </c>
      <c r="AW220" s="411">
        <v>55.274999999999999</v>
      </c>
    </row>
    <row r="221" spans="1:49" s="28" customFormat="1" ht="15" hidden="1" customHeight="1">
      <c r="AI221" s="28">
        <v>55.274999999999999</v>
      </c>
      <c r="AJ221" s="28" t="s">
        <v>2828</v>
      </c>
      <c r="AK221" s="28">
        <v>7.7839999999999998</v>
      </c>
      <c r="AL221" s="28" t="s">
        <v>2830</v>
      </c>
      <c r="AM221" s="28">
        <v>1000</v>
      </c>
      <c r="AN221" s="28" t="s">
        <v>2829</v>
      </c>
      <c r="AO221" s="422">
        <v>0.43026059999999994</v>
      </c>
      <c r="AP221" s="422"/>
      <c r="AQ221" s="422"/>
      <c r="AR221" s="422"/>
      <c r="AS221" s="422"/>
      <c r="AV221" s="55">
        <v>5</v>
      </c>
      <c r="AW221" s="411">
        <v>55.274999999999999</v>
      </c>
    </row>
    <row r="222" spans="1:49" s="28" customFormat="1" ht="15" hidden="1" customHeight="1">
      <c r="AI222" s="28">
        <v>55.274999999999999</v>
      </c>
      <c r="AJ222" s="28" t="s">
        <v>2828</v>
      </c>
      <c r="AK222" s="28">
        <v>7.7839999999999998</v>
      </c>
      <c r="AL222" s="28" t="s">
        <v>2830</v>
      </c>
      <c r="AM222" s="28">
        <v>1000</v>
      </c>
      <c r="AN222" s="28" t="s">
        <v>2829</v>
      </c>
      <c r="AO222" s="422">
        <v>0.43026059999999994</v>
      </c>
      <c r="AP222" s="422"/>
      <c r="AQ222" s="422"/>
      <c r="AR222" s="422"/>
      <c r="AS222" s="422"/>
      <c r="AV222" s="55">
        <v>5</v>
      </c>
      <c r="AW222" s="411">
        <v>55.274999999999999</v>
      </c>
    </row>
    <row r="223" spans="1:49" s="28" customFormat="1" ht="15" hidden="1" customHeight="1">
      <c r="AI223" s="28">
        <v>55.274999999999999</v>
      </c>
      <c r="AJ223" s="28" t="s">
        <v>2828</v>
      </c>
      <c r="AK223" s="28">
        <v>7.7839999999999998</v>
      </c>
      <c r="AL223" s="28" t="s">
        <v>2830</v>
      </c>
      <c r="AM223" s="28">
        <v>1000</v>
      </c>
      <c r="AN223" s="28" t="s">
        <v>2829</v>
      </c>
      <c r="AO223" s="422">
        <v>0.43026059999999994</v>
      </c>
      <c r="AP223" s="422"/>
      <c r="AQ223" s="422"/>
      <c r="AR223" s="422"/>
      <c r="AS223" s="422"/>
      <c r="AV223" s="55">
        <v>5</v>
      </c>
      <c r="AW223" s="411">
        <v>55.274999999999999</v>
      </c>
    </row>
    <row r="224" spans="1:49" s="28" customFormat="1" ht="15" hidden="1" customHeight="1">
      <c r="AI224" s="28">
        <v>55.274999999999999</v>
      </c>
      <c r="AJ224" s="28" t="s">
        <v>2828</v>
      </c>
      <c r="AK224" s="28">
        <v>7.7839999999999998</v>
      </c>
      <c r="AL224" s="28" t="s">
        <v>2830</v>
      </c>
      <c r="AM224" s="28">
        <v>1000</v>
      </c>
      <c r="AN224" s="28" t="s">
        <v>2829</v>
      </c>
      <c r="AO224" s="422">
        <v>0.43026059999999994</v>
      </c>
      <c r="AP224" s="422"/>
      <c r="AQ224" s="422"/>
      <c r="AR224" s="422"/>
      <c r="AS224" s="422"/>
      <c r="AV224" s="55">
        <v>5</v>
      </c>
      <c r="AW224" s="411">
        <v>55.274999999999999</v>
      </c>
    </row>
    <row r="225" spans="35:49" s="28" customFormat="1" ht="15" hidden="1" customHeight="1">
      <c r="AI225" s="28">
        <v>55.274999999999999</v>
      </c>
      <c r="AJ225" s="28" t="s">
        <v>2828</v>
      </c>
      <c r="AK225" s="28">
        <v>7.7839999999999998</v>
      </c>
      <c r="AL225" s="28" t="s">
        <v>2830</v>
      </c>
      <c r="AM225" s="28">
        <v>1000</v>
      </c>
      <c r="AN225" s="28" t="s">
        <v>2829</v>
      </c>
      <c r="AO225" s="422">
        <v>0.43026059999999994</v>
      </c>
      <c r="AP225" s="422"/>
      <c r="AQ225" s="422"/>
      <c r="AR225" s="422"/>
      <c r="AS225" s="422"/>
      <c r="AV225" s="55">
        <v>5</v>
      </c>
      <c r="AW225" s="411">
        <v>55.274999999999999</v>
      </c>
    </row>
    <row r="226" spans="35:49" s="28" customFormat="1" ht="15" hidden="1" customHeight="1">
      <c r="AI226" s="28">
        <v>55.274999999999999</v>
      </c>
      <c r="AJ226" s="28" t="s">
        <v>2828</v>
      </c>
      <c r="AK226" s="28">
        <v>7.7839999999999998</v>
      </c>
      <c r="AL226" s="28" t="s">
        <v>2830</v>
      </c>
      <c r="AM226" s="28">
        <v>1000</v>
      </c>
      <c r="AN226" s="28" t="s">
        <v>2829</v>
      </c>
      <c r="AO226" s="422">
        <v>0.43026059999999994</v>
      </c>
      <c r="AP226" s="422"/>
      <c r="AQ226" s="422"/>
      <c r="AR226" s="422"/>
      <c r="AS226" s="422"/>
      <c r="AV226" s="55">
        <v>5</v>
      </c>
      <c r="AW226" s="411">
        <v>55.274999999999999</v>
      </c>
    </row>
    <row r="227" spans="35:49" s="28" customFormat="1" ht="15" hidden="1" customHeight="1">
      <c r="AI227" s="28">
        <v>55.274999999999999</v>
      </c>
      <c r="AJ227" s="28" t="s">
        <v>2828</v>
      </c>
      <c r="AK227" s="28">
        <v>7.7839999999999998</v>
      </c>
      <c r="AL227" s="28" t="s">
        <v>2830</v>
      </c>
      <c r="AM227" s="28">
        <v>1000</v>
      </c>
      <c r="AN227" s="28" t="s">
        <v>2829</v>
      </c>
      <c r="AO227" s="422">
        <v>0.43026059999999994</v>
      </c>
      <c r="AP227" s="422"/>
      <c r="AQ227" s="422"/>
      <c r="AR227" s="422"/>
      <c r="AS227" s="422"/>
      <c r="AV227" s="55">
        <v>5</v>
      </c>
      <c r="AW227" s="411">
        <v>55.274999999999999</v>
      </c>
    </row>
    <row r="228" spans="35:49" s="28" customFormat="1" ht="15" hidden="1" customHeight="1">
      <c r="AI228" s="28">
        <v>55.274999999999999</v>
      </c>
      <c r="AJ228" s="28" t="s">
        <v>2828</v>
      </c>
      <c r="AK228" s="28">
        <v>7.7839999999999998</v>
      </c>
      <c r="AL228" s="28" t="s">
        <v>2830</v>
      </c>
      <c r="AM228" s="28">
        <v>1000</v>
      </c>
      <c r="AN228" s="28" t="s">
        <v>2829</v>
      </c>
      <c r="AO228" s="422">
        <v>0.43026059999999994</v>
      </c>
      <c r="AP228" s="422"/>
      <c r="AQ228" s="422"/>
      <c r="AR228" s="422"/>
      <c r="AS228" s="422"/>
      <c r="AV228" s="55">
        <v>5</v>
      </c>
      <c r="AW228" s="411">
        <v>55.274999999999999</v>
      </c>
    </row>
    <row r="229" spans="35:49" s="28" customFormat="1" ht="15" hidden="1" customHeight="1">
      <c r="AI229" s="28">
        <v>55.274999999999999</v>
      </c>
      <c r="AJ229" s="28" t="s">
        <v>2828</v>
      </c>
      <c r="AK229" s="28">
        <v>7.7839999999999998</v>
      </c>
      <c r="AL229" s="28" t="s">
        <v>2830</v>
      </c>
      <c r="AM229" s="28">
        <v>1000</v>
      </c>
      <c r="AN229" s="28" t="s">
        <v>2829</v>
      </c>
      <c r="AO229" s="422">
        <v>0.43026059999999994</v>
      </c>
      <c r="AP229" s="422"/>
      <c r="AQ229" s="422"/>
      <c r="AR229" s="422"/>
      <c r="AS229" s="422"/>
      <c r="AV229" s="55">
        <v>5</v>
      </c>
      <c r="AW229" s="411">
        <v>55.274999999999999</v>
      </c>
    </row>
    <row r="230" spans="35:49" s="28" customFormat="1" ht="15" hidden="1" customHeight="1">
      <c r="AI230" s="28">
        <v>55.274999999999999</v>
      </c>
      <c r="AJ230" s="28" t="s">
        <v>2828</v>
      </c>
      <c r="AK230" s="28">
        <v>7.7839999999999998</v>
      </c>
      <c r="AL230" s="28" t="s">
        <v>2830</v>
      </c>
      <c r="AM230" s="28">
        <v>1000</v>
      </c>
      <c r="AN230" s="28" t="s">
        <v>2829</v>
      </c>
      <c r="AO230" s="422">
        <v>0.43026059999999994</v>
      </c>
      <c r="AP230" s="422"/>
      <c r="AQ230" s="422"/>
      <c r="AR230" s="422"/>
      <c r="AS230" s="422"/>
      <c r="AV230" s="55">
        <v>5</v>
      </c>
      <c r="AW230" s="411">
        <v>55.274999999999999</v>
      </c>
    </row>
    <row r="231" spans="35:49" s="28" customFormat="1" ht="15" hidden="1" customHeight="1">
      <c r="AI231" s="28">
        <v>55.274999999999999</v>
      </c>
      <c r="AJ231" s="28" t="s">
        <v>2828</v>
      </c>
      <c r="AK231" s="28">
        <v>7.7839999999999998</v>
      </c>
      <c r="AL231" s="28" t="s">
        <v>2830</v>
      </c>
      <c r="AM231" s="28">
        <v>1000</v>
      </c>
      <c r="AN231" s="28" t="s">
        <v>2829</v>
      </c>
      <c r="AO231" s="422">
        <v>0.43026059999999994</v>
      </c>
      <c r="AP231" s="422"/>
      <c r="AQ231" s="422"/>
      <c r="AR231" s="422"/>
      <c r="AS231" s="422"/>
      <c r="AV231" s="55">
        <v>5</v>
      </c>
      <c r="AW231" s="411">
        <v>55.274999999999999</v>
      </c>
    </row>
    <row r="232" spans="35:49" s="28" customFormat="1" ht="15" hidden="1" customHeight="1">
      <c r="AI232" s="28">
        <v>55.274999999999999</v>
      </c>
      <c r="AJ232" s="28" t="s">
        <v>2828</v>
      </c>
      <c r="AK232" s="28">
        <v>7.7839999999999998</v>
      </c>
      <c r="AL232" s="28" t="s">
        <v>2830</v>
      </c>
      <c r="AM232" s="28">
        <v>1000</v>
      </c>
      <c r="AN232" s="28" t="s">
        <v>2829</v>
      </c>
      <c r="AO232" s="422">
        <v>0.43026059999999994</v>
      </c>
      <c r="AP232" s="422"/>
      <c r="AQ232" s="422"/>
      <c r="AR232" s="422"/>
      <c r="AS232" s="422"/>
      <c r="AV232" s="55">
        <v>5</v>
      </c>
      <c r="AW232" s="411">
        <v>55.274999999999999</v>
      </c>
    </row>
    <row r="233" spans="35:49" s="28" customFormat="1" ht="15" hidden="1" customHeight="1">
      <c r="AI233" s="28">
        <v>55.274999999999999</v>
      </c>
      <c r="AJ233" s="28" t="s">
        <v>2828</v>
      </c>
      <c r="AK233" s="28">
        <v>7.7839999999999998</v>
      </c>
      <c r="AL233" s="28" t="s">
        <v>2830</v>
      </c>
      <c r="AM233" s="28">
        <v>1000</v>
      </c>
      <c r="AN233" s="28" t="s">
        <v>2829</v>
      </c>
      <c r="AO233" s="422">
        <v>0.43026059999999994</v>
      </c>
      <c r="AP233" s="422"/>
      <c r="AQ233" s="422"/>
      <c r="AR233" s="422"/>
      <c r="AS233" s="422"/>
      <c r="AV233" s="55">
        <v>5</v>
      </c>
      <c r="AW233" s="411">
        <v>55.274999999999999</v>
      </c>
    </row>
    <row r="234" spans="35:49" s="28" customFormat="1" ht="15" hidden="1" customHeight="1">
      <c r="AI234" s="28">
        <v>55.274999999999999</v>
      </c>
      <c r="AJ234" s="28" t="s">
        <v>2828</v>
      </c>
      <c r="AK234" s="28">
        <v>7.7839999999999998</v>
      </c>
      <c r="AL234" s="28" t="s">
        <v>2830</v>
      </c>
      <c r="AM234" s="28">
        <v>1000</v>
      </c>
      <c r="AN234" s="28" t="s">
        <v>2829</v>
      </c>
      <c r="AO234" s="422">
        <v>0.43026059999999994</v>
      </c>
      <c r="AP234" s="422"/>
      <c r="AQ234" s="422"/>
      <c r="AR234" s="422"/>
      <c r="AS234" s="422"/>
      <c r="AV234" s="55">
        <v>5</v>
      </c>
      <c r="AW234" s="411">
        <v>55.274999999999999</v>
      </c>
    </row>
    <row r="235" spans="35:49" s="28" customFormat="1" ht="15" hidden="1" customHeight="1">
      <c r="AI235" s="28">
        <v>55.274999999999999</v>
      </c>
      <c r="AJ235" s="28" t="s">
        <v>2828</v>
      </c>
      <c r="AK235" s="28">
        <v>7.7839999999999998</v>
      </c>
      <c r="AL235" s="28" t="s">
        <v>2830</v>
      </c>
      <c r="AM235" s="28">
        <v>1000</v>
      </c>
      <c r="AN235" s="28" t="s">
        <v>2829</v>
      </c>
      <c r="AO235" s="422">
        <v>0.43026059999999994</v>
      </c>
      <c r="AP235" s="422"/>
      <c r="AQ235" s="422"/>
      <c r="AR235" s="422"/>
      <c r="AS235" s="422"/>
      <c r="AV235" s="55">
        <v>5</v>
      </c>
      <c r="AW235" s="411">
        <v>55.274999999999999</v>
      </c>
    </row>
    <row r="236" spans="35:49" s="28" customFormat="1" ht="15" hidden="1" customHeight="1">
      <c r="AI236" s="28">
        <v>55.274999999999999</v>
      </c>
      <c r="AJ236" s="28" t="s">
        <v>2828</v>
      </c>
      <c r="AK236" s="28">
        <v>7.7839999999999998</v>
      </c>
      <c r="AL236" s="28" t="s">
        <v>2830</v>
      </c>
      <c r="AM236" s="28">
        <v>1000</v>
      </c>
      <c r="AN236" s="28" t="s">
        <v>2829</v>
      </c>
      <c r="AO236" s="422">
        <v>0.43026059999999994</v>
      </c>
      <c r="AP236" s="422"/>
      <c r="AQ236" s="422"/>
      <c r="AR236" s="422"/>
      <c r="AS236" s="422"/>
      <c r="AV236" s="55">
        <v>5</v>
      </c>
      <c r="AW236" s="411">
        <v>55.274999999999999</v>
      </c>
    </row>
    <row r="237" spans="35:49" s="28" customFormat="1" ht="15" hidden="1" customHeight="1">
      <c r="AI237" s="28">
        <v>55.274999999999999</v>
      </c>
      <c r="AJ237" s="28" t="s">
        <v>2828</v>
      </c>
      <c r="AK237" s="28">
        <v>7.7839999999999998</v>
      </c>
      <c r="AL237" s="28" t="s">
        <v>2830</v>
      </c>
      <c r="AM237" s="28">
        <v>1000</v>
      </c>
      <c r="AN237" s="28" t="s">
        <v>2829</v>
      </c>
      <c r="AO237" s="422">
        <v>0.43026059999999994</v>
      </c>
      <c r="AP237" s="422"/>
      <c r="AQ237" s="422"/>
      <c r="AR237" s="422"/>
      <c r="AS237" s="422"/>
      <c r="AV237" s="55">
        <v>5</v>
      </c>
      <c r="AW237" s="411">
        <v>55.274999999999999</v>
      </c>
    </row>
    <row r="238" spans="35:49" s="28" customFormat="1" ht="15" hidden="1" customHeight="1">
      <c r="AI238" s="28">
        <v>55.274999999999999</v>
      </c>
      <c r="AJ238" s="28" t="s">
        <v>2828</v>
      </c>
      <c r="AK238" s="28">
        <v>7.7839999999999998</v>
      </c>
      <c r="AL238" s="28" t="s">
        <v>2830</v>
      </c>
      <c r="AM238" s="28">
        <v>1000</v>
      </c>
      <c r="AN238" s="28" t="s">
        <v>2829</v>
      </c>
      <c r="AO238" s="422">
        <v>0.43026059999999994</v>
      </c>
      <c r="AP238" s="422"/>
      <c r="AQ238" s="422"/>
      <c r="AR238" s="422"/>
      <c r="AS238" s="422"/>
      <c r="AV238" s="55">
        <v>5</v>
      </c>
      <c r="AW238" s="411">
        <v>55.274999999999999</v>
      </c>
    </row>
    <row r="239" spans="35:49" s="28" customFormat="1" ht="15" hidden="1" customHeight="1">
      <c r="AI239" s="28">
        <v>55.274999999999999</v>
      </c>
      <c r="AJ239" s="28" t="s">
        <v>2828</v>
      </c>
      <c r="AK239" s="28">
        <v>7.7839999999999998</v>
      </c>
      <c r="AL239" s="28" t="s">
        <v>2830</v>
      </c>
      <c r="AM239" s="28">
        <v>1000</v>
      </c>
      <c r="AN239" s="28" t="s">
        <v>2829</v>
      </c>
      <c r="AO239" s="422">
        <v>0.43026059999999994</v>
      </c>
      <c r="AP239" s="422"/>
      <c r="AQ239" s="422"/>
      <c r="AR239" s="422"/>
      <c r="AS239" s="422"/>
      <c r="AV239" s="55">
        <v>5</v>
      </c>
      <c r="AW239" s="411">
        <v>55.274999999999999</v>
      </c>
    </row>
    <row r="240" spans="35:49" s="28" customFormat="1" ht="15" hidden="1" customHeight="1">
      <c r="AI240" s="28">
        <v>55.274999999999999</v>
      </c>
      <c r="AJ240" s="28" t="s">
        <v>2828</v>
      </c>
      <c r="AK240" s="28">
        <v>7.7839999999999998</v>
      </c>
      <c r="AL240" s="28" t="s">
        <v>2830</v>
      </c>
      <c r="AM240" s="28">
        <v>1000</v>
      </c>
      <c r="AN240" s="28" t="s">
        <v>2829</v>
      </c>
      <c r="AO240" s="422">
        <v>0.43026059999999994</v>
      </c>
      <c r="AP240" s="422"/>
      <c r="AQ240" s="422"/>
      <c r="AR240" s="422"/>
      <c r="AS240" s="422"/>
      <c r="AV240" s="55">
        <v>5</v>
      </c>
      <c r="AW240" s="411">
        <v>55.274999999999999</v>
      </c>
    </row>
    <row r="241" spans="8:49" s="28" customFormat="1" ht="15" hidden="1" customHeight="1">
      <c r="AI241" s="28">
        <v>55.274999999999999</v>
      </c>
      <c r="AJ241" s="28" t="s">
        <v>2828</v>
      </c>
      <c r="AK241" s="28">
        <v>7.7839999999999998</v>
      </c>
      <c r="AL241" s="28" t="s">
        <v>2830</v>
      </c>
      <c r="AM241" s="28">
        <v>1000</v>
      </c>
      <c r="AN241" s="28" t="s">
        <v>2829</v>
      </c>
      <c r="AO241" s="422">
        <v>0.43026059999999994</v>
      </c>
      <c r="AP241" s="422"/>
      <c r="AQ241" s="422"/>
      <c r="AR241" s="422"/>
      <c r="AS241" s="422"/>
      <c r="AV241" s="55">
        <v>5</v>
      </c>
      <c r="AW241" s="411">
        <v>55.274999999999999</v>
      </c>
    </row>
    <row r="242" spans="8:49" s="28" customFormat="1" ht="15" hidden="1" customHeight="1">
      <c r="AI242" s="28">
        <v>55.274999999999999</v>
      </c>
      <c r="AJ242" s="28" t="s">
        <v>2828</v>
      </c>
      <c r="AK242" s="28">
        <v>7.7839999999999998</v>
      </c>
      <c r="AL242" s="28" t="s">
        <v>2830</v>
      </c>
      <c r="AM242" s="28">
        <v>1000</v>
      </c>
      <c r="AN242" s="28" t="s">
        <v>2829</v>
      </c>
      <c r="AO242" s="422">
        <v>0.43026059999999994</v>
      </c>
      <c r="AP242" s="422"/>
      <c r="AQ242" s="422"/>
      <c r="AR242" s="422"/>
      <c r="AS242" s="422"/>
      <c r="AV242" s="55"/>
      <c r="AW242" s="411"/>
    </row>
    <row r="243" spans="8:49" ht="15" customHeight="1">
      <c r="H243" s="517"/>
      <c r="I243" s="517"/>
      <c r="J243" s="517"/>
    </row>
  </sheetData>
  <sheetProtection sheet="1" selectLockedCells="1"/>
  <autoFilter ref="C41:D242" xr:uid="{00000000-0009-0000-0000-000003000000}">
    <filterColumn colId="0" showButton="0">
      <customFilters>
        <customFilter operator="notEqual" val=" "/>
      </customFilters>
    </filterColumn>
  </autoFilter>
  <sortState ref="C42:D51">
    <sortCondition ref="C42:C51"/>
  </sortState>
  <mergeCells count="1505">
    <mergeCell ref="R4:U4"/>
    <mergeCell ref="AD4:AE4"/>
    <mergeCell ref="X199:Y199"/>
    <mergeCell ref="AB199:AC199"/>
    <mergeCell ref="AD199:AE199"/>
    <mergeCell ref="X200:Y200"/>
    <mergeCell ref="AB200:AC200"/>
    <mergeCell ref="AD200:AE200"/>
    <mergeCell ref="X196:Y196"/>
    <mergeCell ref="AB196:AC196"/>
    <mergeCell ref="AD196:AE196"/>
    <mergeCell ref="X197:Y197"/>
    <mergeCell ref="AB197:AC197"/>
    <mergeCell ref="AD197:AE197"/>
    <mergeCell ref="X198:Y198"/>
    <mergeCell ref="AB198:AC198"/>
    <mergeCell ref="AD198:AE198"/>
    <mergeCell ref="X193:Y193"/>
    <mergeCell ref="AB193:AC193"/>
    <mergeCell ref="AD193:AE193"/>
    <mergeCell ref="X194:Y194"/>
    <mergeCell ref="AB194:AC194"/>
    <mergeCell ref="AD194:AE194"/>
    <mergeCell ref="X195:Y195"/>
    <mergeCell ref="AB195:AC195"/>
    <mergeCell ref="AD195:AE195"/>
    <mergeCell ref="X190:Y190"/>
    <mergeCell ref="AB190:AC190"/>
    <mergeCell ref="AD190:AE190"/>
    <mergeCell ref="X191:Y191"/>
    <mergeCell ref="AB191:AC191"/>
    <mergeCell ref="AD191:AE191"/>
    <mergeCell ref="X192:Y192"/>
    <mergeCell ref="AB192:AC192"/>
    <mergeCell ref="AD192:AE192"/>
    <mergeCell ref="X187:Y187"/>
    <mergeCell ref="AB187:AC187"/>
    <mergeCell ref="AD187:AE187"/>
    <mergeCell ref="X188:Y188"/>
    <mergeCell ref="AB188:AC188"/>
    <mergeCell ref="AD188:AE188"/>
    <mergeCell ref="X189:Y189"/>
    <mergeCell ref="AB189:AC189"/>
    <mergeCell ref="AD189:AE189"/>
    <mergeCell ref="X184:Y184"/>
    <mergeCell ref="AB184:AC184"/>
    <mergeCell ref="AD184:AE184"/>
    <mergeCell ref="X185:Y185"/>
    <mergeCell ref="AB185:AC185"/>
    <mergeCell ref="AD185:AE185"/>
    <mergeCell ref="X186:Y186"/>
    <mergeCell ref="AB186:AC186"/>
    <mergeCell ref="AD186:AE186"/>
    <mergeCell ref="X181:Y181"/>
    <mergeCell ref="AB181:AC181"/>
    <mergeCell ref="AD181:AE181"/>
    <mergeCell ref="X182:Y182"/>
    <mergeCell ref="AB182:AC182"/>
    <mergeCell ref="AD182:AE182"/>
    <mergeCell ref="X183:Y183"/>
    <mergeCell ref="AB183:AC183"/>
    <mergeCell ref="AD183:AE183"/>
    <mergeCell ref="X178:Y178"/>
    <mergeCell ref="AB178:AC178"/>
    <mergeCell ref="AD178:AE178"/>
    <mergeCell ref="X179:Y179"/>
    <mergeCell ref="AB179:AC179"/>
    <mergeCell ref="AD179:AE179"/>
    <mergeCell ref="X180:Y180"/>
    <mergeCell ref="AB180:AC180"/>
    <mergeCell ref="AD180:AE180"/>
    <mergeCell ref="X175:Y175"/>
    <mergeCell ref="AB175:AC175"/>
    <mergeCell ref="AD175:AE175"/>
    <mergeCell ref="X176:Y176"/>
    <mergeCell ref="AB176:AC176"/>
    <mergeCell ref="AD176:AE176"/>
    <mergeCell ref="X177:Y177"/>
    <mergeCell ref="AB177:AC177"/>
    <mergeCell ref="AD177:AE177"/>
    <mergeCell ref="X172:Y172"/>
    <mergeCell ref="AB172:AC172"/>
    <mergeCell ref="AD172:AE172"/>
    <mergeCell ref="X173:Y173"/>
    <mergeCell ref="AB173:AC173"/>
    <mergeCell ref="AD173:AE173"/>
    <mergeCell ref="X174:Y174"/>
    <mergeCell ref="AB174:AC174"/>
    <mergeCell ref="AD174:AE174"/>
    <mergeCell ref="X169:Y169"/>
    <mergeCell ref="AB169:AC169"/>
    <mergeCell ref="AD169:AE169"/>
    <mergeCell ref="X170:Y170"/>
    <mergeCell ref="AB170:AC170"/>
    <mergeCell ref="AD170:AE170"/>
    <mergeCell ref="X171:Y171"/>
    <mergeCell ref="AB171:AC171"/>
    <mergeCell ref="AD171:AE171"/>
    <mergeCell ref="X166:Y166"/>
    <mergeCell ref="AB166:AC166"/>
    <mergeCell ref="AD166:AE166"/>
    <mergeCell ref="X167:Y167"/>
    <mergeCell ref="AB167:AC167"/>
    <mergeCell ref="AD167:AE167"/>
    <mergeCell ref="X168:Y168"/>
    <mergeCell ref="AB168:AC168"/>
    <mergeCell ref="AD168:AE168"/>
    <mergeCell ref="X163:Y163"/>
    <mergeCell ref="AB163:AC163"/>
    <mergeCell ref="AD163:AE163"/>
    <mergeCell ref="X164:Y164"/>
    <mergeCell ref="AB164:AC164"/>
    <mergeCell ref="AD164:AE164"/>
    <mergeCell ref="X165:Y165"/>
    <mergeCell ref="AB165:AC165"/>
    <mergeCell ref="AD165:AE165"/>
    <mergeCell ref="X160:Y160"/>
    <mergeCell ref="AB160:AC160"/>
    <mergeCell ref="AD160:AE160"/>
    <mergeCell ref="X161:Y161"/>
    <mergeCell ref="AB161:AC161"/>
    <mergeCell ref="AD161:AE161"/>
    <mergeCell ref="X162:Y162"/>
    <mergeCell ref="AB162:AC162"/>
    <mergeCell ref="AD162:AE162"/>
    <mergeCell ref="X157:Y157"/>
    <mergeCell ref="AB157:AC157"/>
    <mergeCell ref="AD157:AE157"/>
    <mergeCell ref="X158:Y158"/>
    <mergeCell ref="AB158:AC158"/>
    <mergeCell ref="AD158:AE158"/>
    <mergeCell ref="X159:Y159"/>
    <mergeCell ref="AB159:AC159"/>
    <mergeCell ref="AD159:AE159"/>
    <mergeCell ref="X154:Y154"/>
    <mergeCell ref="AB154:AC154"/>
    <mergeCell ref="AD154:AE154"/>
    <mergeCell ref="X155:Y155"/>
    <mergeCell ref="AB155:AC155"/>
    <mergeCell ref="AD155:AE155"/>
    <mergeCell ref="X156:Y156"/>
    <mergeCell ref="AB156:AC156"/>
    <mergeCell ref="AD156:AE156"/>
    <mergeCell ref="X151:Y151"/>
    <mergeCell ref="AB151:AC151"/>
    <mergeCell ref="AD151:AE151"/>
    <mergeCell ref="X152:Y152"/>
    <mergeCell ref="AB152:AC152"/>
    <mergeCell ref="AD152:AE152"/>
    <mergeCell ref="X153:Y153"/>
    <mergeCell ref="AB153:AC153"/>
    <mergeCell ref="AD153:AE153"/>
    <mergeCell ref="X148:Y148"/>
    <mergeCell ref="AB148:AC148"/>
    <mergeCell ref="AD148:AE148"/>
    <mergeCell ref="X149:Y149"/>
    <mergeCell ref="AB149:AC149"/>
    <mergeCell ref="AD149:AE149"/>
    <mergeCell ref="X150:Y150"/>
    <mergeCell ref="AB150:AC150"/>
    <mergeCell ref="AD150:AE150"/>
    <mergeCell ref="X145:Y145"/>
    <mergeCell ref="AB145:AC145"/>
    <mergeCell ref="AD145:AE145"/>
    <mergeCell ref="X146:Y146"/>
    <mergeCell ref="AB146:AC146"/>
    <mergeCell ref="AD146:AE146"/>
    <mergeCell ref="X147:Y147"/>
    <mergeCell ref="AB147:AC147"/>
    <mergeCell ref="AD147:AE147"/>
    <mergeCell ref="X142:Y142"/>
    <mergeCell ref="AB142:AC142"/>
    <mergeCell ref="AD142:AE142"/>
    <mergeCell ref="X143:Y143"/>
    <mergeCell ref="AB143:AC143"/>
    <mergeCell ref="AD143:AE143"/>
    <mergeCell ref="X144:Y144"/>
    <mergeCell ref="AB144:AC144"/>
    <mergeCell ref="AD144:AE144"/>
    <mergeCell ref="X139:Y139"/>
    <mergeCell ref="AB139:AC139"/>
    <mergeCell ref="AD139:AE139"/>
    <mergeCell ref="X140:Y140"/>
    <mergeCell ref="AB140:AC140"/>
    <mergeCell ref="AD140:AE140"/>
    <mergeCell ref="X141:Y141"/>
    <mergeCell ref="AB141:AC141"/>
    <mergeCell ref="AD141:AE141"/>
    <mergeCell ref="X136:Y136"/>
    <mergeCell ref="AB136:AC136"/>
    <mergeCell ref="AD136:AE136"/>
    <mergeCell ref="X137:Y137"/>
    <mergeCell ref="AB137:AC137"/>
    <mergeCell ref="AD137:AE137"/>
    <mergeCell ref="X138:Y138"/>
    <mergeCell ref="AB138:AC138"/>
    <mergeCell ref="AD138:AE138"/>
    <mergeCell ref="X133:Y133"/>
    <mergeCell ref="AB133:AC133"/>
    <mergeCell ref="AD133:AE133"/>
    <mergeCell ref="X134:Y134"/>
    <mergeCell ref="AB134:AC134"/>
    <mergeCell ref="AD134:AE134"/>
    <mergeCell ref="X135:Y135"/>
    <mergeCell ref="AB135:AC135"/>
    <mergeCell ref="AD135:AE135"/>
    <mergeCell ref="X130:Y130"/>
    <mergeCell ref="AB130:AC130"/>
    <mergeCell ref="AD130:AE130"/>
    <mergeCell ref="X131:Y131"/>
    <mergeCell ref="AB131:AC131"/>
    <mergeCell ref="AD131:AE131"/>
    <mergeCell ref="X132:Y132"/>
    <mergeCell ref="AB132:AC132"/>
    <mergeCell ref="AD132:AE132"/>
    <mergeCell ref="X127:Y127"/>
    <mergeCell ref="AB127:AC127"/>
    <mergeCell ref="AD127:AE127"/>
    <mergeCell ref="X128:Y128"/>
    <mergeCell ref="AB128:AC128"/>
    <mergeCell ref="AD128:AE128"/>
    <mergeCell ref="X129:Y129"/>
    <mergeCell ref="AB129:AC129"/>
    <mergeCell ref="AD129:AE129"/>
    <mergeCell ref="X124:Y124"/>
    <mergeCell ref="AB124:AC124"/>
    <mergeCell ref="AD124:AE124"/>
    <mergeCell ref="X125:Y125"/>
    <mergeCell ref="AB125:AC125"/>
    <mergeCell ref="AD125:AE125"/>
    <mergeCell ref="X126:Y126"/>
    <mergeCell ref="AB126:AC126"/>
    <mergeCell ref="AD126:AE126"/>
    <mergeCell ref="X121:Y121"/>
    <mergeCell ref="AB121:AC121"/>
    <mergeCell ref="AD121:AE121"/>
    <mergeCell ref="X122:Y122"/>
    <mergeCell ref="AB122:AC122"/>
    <mergeCell ref="AD122:AE122"/>
    <mergeCell ref="X123:Y123"/>
    <mergeCell ref="AB123:AC123"/>
    <mergeCell ref="AD123:AE123"/>
    <mergeCell ref="X118:Y118"/>
    <mergeCell ref="AB118:AC118"/>
    <mergeCell ref="AD118:AE118"/>
    <mergeCell ref="X119:Y119"/>
    <mergeCell ref="AB119:AC119"/>
    <mergeCell ref="AD119:AE119"/>
    <mergeCell ref="X120:Y120"/>
    <mergeCell ref="AB120:AC120"/>
    <mergeCell ref="AD120:AE120"/>
    <mergeCell ref="X115:Y115"/>
    <mergeCell ref="AB115:AC115"/>
    <mergeCell ref="AD115:AE115"/>
    <mergeCell ref="X116:Y116"/>
    <mergeCell ref="AB116:AC116"/>
    <mergeCell ref="AD116:AE116"/>
    <mergeCell ref="X117:Y117"/>
    <mergeCell ref="AB117:AC117"/>
    <mergeCell ref="AD117:AE117"/>
    <mergeCell ref="X112:Y112"/>
    <mergeCell ref="AB112:AC112"/>
    <mergeCell ref="AD112:AE112"/>
    <mergeCell ref="X113:Y113"/>
    <mergeCell ref="AB113:AC113"/>
    <mergeCell ref="AD113:AE113"/>
    <mergeCell ref="X114:Y114"/>
    <mergeCell ref="AB114:AC114"/>
    <mergeCell ref="AD114:AE114"/>
    <mergeCell ref="X109:Y109"/>
    <mergeCell ref="AB109:AC109"/>
    <mergeCell ref="AD109:AE109"/>
    <mergeCell ref="X110:Y110"/>
    <mergeCell ref="AB110:AC110"/>
    <mergeCell ref="AD110:AE110"/>
    <mergeCell ref="X111:Y111"/>
    <mergeCell ref="AB111:AC111"/>
    <mergeCell ref="AD111:AE111"/>
    <mergeCell ref="X106:Y106"/>
    <mergeCell ref="AB106:AC106"/>
    <mergeCell ref="AD106:AE106"/>
    <mergeCell ref="X107:Y107"/>
    <mergeCell ref="AB107:AC107"/>
    <mergeCell ref="AD107:AE107"/>
    <mergeCell ref="X108:Y108"/>
    <mergeCell ref="AB108:AC108"/>
    <mergeCell ref="AD108:AE108"/>
    <mergeCell ref="X103:Y103"/>
    <mergeCell ref="AB103:AC103"/>
    <mergeCell ref="AD103:AE103"/>
    <mergeCell ref="X104:Y104"/>
    <mergeCell ref="AB104:AC104"/>
    <mergeCell ref="AD104:AE104"/>
    <mergeCell ref="X105:Y105"/>
    <mergeCell ref="AB105:AC105"/>
    <mergeCell ref="AD105:AE105"/>
    <mergeCell ref="X100:Y100"/>
    <mergeCell ref="AB100:AC100"/>
    <mergeCell ref="AD100:AE100"/>
    <mergeCell ref="X101:Y101"/>
    <mergeCell ref="AB101:AC101"/>
    <mergeCell ref="AD101:AE101"/>
    <mergeCell ref="X102:Y102"/>
    <mergeCell ref="AB102:AC102"/>
    <mergeCell ref="AD102:AE102"/>
    <mergeCell ref="X97:Y97"/>
    <mergeCell ref="AB97:AC97"/>
    <mergeCell ref="AD97:AE97"/>
    <mergeCell ref="X98:Y98"/>
    <mergeCell ref="AB98:AC98"/>
    <mergeCell ref="AD98:AE98"/>
    <mergeCell ref="X99:Y99"/>
    <mergeCell ref="AB99:AC99"/>
    <mergeCell ref="AD99:AE99"/>
    <mergeCell ref="X94:Y94"/>
    <mergeCell ref="AB94:AC94"/>
    <mergeCell ref="AD94:AE94"/>
    <mergeCell ref="X95:Y95"/>
    <mergeCell ref="AB95:AC95"/>
    <mergeCell ref="AD95:AE95"/>
    <mergeCell ref="X96:Y96"/>
    <mergeCell ref="AB96:AC96"/>
    <mergeCell ref="AD96:AE96"/>
    <mergeCell ref="X91:Y91"/>
    <mergeCell ref="AB91:AC91"/>
    <mergeCell ref="AD91:AE91"/>
    <mergeCell ref="X92:Y92"/>
    <mergeCell ref="AB92:AC92"/>
    <mergeCell ref="AD92:AE92"/>
    <mergeCell ref="X93:Y93"/>
    <mergeCell ref="AB93:AC93"/>
    <mergeCell ref="AD93:AE93"/>
    <mergeCell ref="X88:Y88"/>
    <mergeCell ref="AB88:AC88"/>
    <mergeCell ref="AD88:AE88"/>
    <mergeCell ref="X89:Y89"/>
    <mergeCell ref="AB89:AC89"/>
    <mergeCell ref="AD89:AE89"/>
    <mergeCell ref="X90:Y90"/>
    <mergeCell ref="AB90:AC90"/>
    <mergeCell ref="AD90:AE90"/>
    <mergeCell ref="X85:Y85"/>
    <mergeCell ref="AB85:AC85"/>
    <mergeCell ref="AD85:AE85"/>
    <mergeCell ref="X86:Y86"/>
    <mergeCell ref="AB86:AC86"/>
    <mergeCell ref="AD86:AE86"/>
    <mergeCell ref="X87:Y87"/>
    <mergeCell ref="AB87:AC87"/>
    <mergeCell ref="AD87:AE87"/>
    <mergeCell ref="X82:Y82"/>
    <mergeCell ref="AB82:AC82"/>
    <mergeCell ref="AD82:AE82"/>
    <mergeCell ref="X83:Y83"/>
    <mergeCell ref="AB83:AC83"/>
    <mergeCell ref="AD83:AE83"/>
    <mergeCell ref="X84:Y84"/>
    <mergeCell ref="AB84:AC84"/>
    <mergeCell ref="AD84:AE84"/>
    <mergeCell ref="X79:Y79"/>
    <mergeCell ref="AB79:AC79"/>
    <mergeCell ref="AD79:AE79"/>
    <mergeCell ref="X80:Y80"/>
    <mergeCell ref="AB80:AC80"/>
    <mergeCell ref="AD80:AE80"/>
    <mergeCell ref="X81:Y81"/>
    <mergeCell ref="AB81:AC81"/>
    <mergeCell ref="AD81:AE81"/>
    <mergeCell ref="X76:Y76"/>
    <mergeCell ref="AB76:AC76"/>
    <mergeCell ref="AD76:AE76"/>
    <mergeCell ref="X77:Y77"/>
    <mergeCell ref="AB77:AC77"/>
    <mergeCell ref="AD77:AE77"/>
    <mergeCell ref="X78:Y78"/>
    <mergeCell ref="AB78:AC78"/>
    <mergeCell ref="AD78:AE78"/>
    <mergeCell ref="X73:Y73"/>
    <mergeCell ref="AB73:AC73"/>
    <mergeCell ref="AD73:AE73"/>
    <mergeCell ref="X74:Y74"/>
    <mergeCell ref="AB74:AC74"/>
    <mergeCell ref="AD74:AE74"/>
    <mergeCell ref="X75:Y75"/>
    <mergeCell ref="AB75:AC75"/>
    <mergeCell ref="AD75:AE75"/>
    <mergeCell ref="X70:Y70"/>
    <mergeCell ref="AB70:AC70"/>
    <mergeCell ref="AD70:AE70"/>
    <mergeCell ref="X71:Y71"/>
    <mergeCell ref="AB71:AC71"/>
    <mergeCell ref="AD71:AE71"/>
    <mergeCell ref="X72:Y72"/>
    <mergeCell ref="AB72:AC72"/>
    <mergeCell ref="AD72:AE72"/>
    <mergeCell ref="X67:Y67"/>
    <mergeCell ref="AB67:AC67"/>
    <mergeCell ref="AD67:AE67"/>
    <mergeCell ref="X68:Y68"/>
    <mergeCell ref="AB68:AC68"/>
    <mergeCell ref="AD68:AE68"/>
    <mergeCell ref="X69:Y69"/>
    <mergeCell ref="AB69:AC69"/>
    <mergeCell ref="AD69:AE69"/>
    <mergeCell ref="C200:D200"/>
    <mergeCell ref="E200:G200"/>
    <mergeCell ref="H200:J200"/>
    <mergeCell ref="N200:O200"/>
    <mergeCell ref="R200:S200"/>
    <mergeCell ref="T200:U200"/>
    <mergeCell ref="X61:Y61"/>
    <mergeCell ref="AB61:AC61"/>
    <mergeCell ref="AD61:AE61"/>
    <mergeCell ref="X62:Y62"/>
    <mergeCell ref="AB62:AC62"/>
    <mergeCell ref="AD62:AE62"/>
    <mergeCell ref="X63:Y63"/>
    <mergeCell ref="AB63:AC63"/>
    <mergeCell ref="AD63:AE63"/>
    <mergeCell ref="X64:Y64"/>
    <mergeCell ref="AB64:AC64"/>
    <mergeCell ref="AD64:AE64"/>
    <mergeCell ref="X65:Y65"/>
    <mergeCell ref="AB65:AC65"/>
    <mergeCell ref="AD65:AE65"/>
    <mergeCell ref="X66:Y66"/>
    <mergeCell ref="AB66:AC66"/>
    <mergeCell ref="AD66:AE66"/>
    <mergeCell ref="C198:D198"/>
    <mergeCell ref="E198:G198"/>
    <mergeCell ref="H198:J198"/>
    <mergeCell ref="N198:O198"/>
    <mergeCell ref="R198:S198"/>
    <mergeCell ref="T198:U198"/>
    <mergeCell ref="C199:D199"/>
    <mergeCell ref="E199:G199"/>
    <mergeCell ref="H199:J199"/>
    <mergeCell ref="N199:O199"/>
    <mergeCell ref="R199:S199"/>
    <mergeCell ref="T199:U199"/>
    <mergeCell ref="C196:D196"/>
    <mergeCell ref="E196:G196"/>
    <mergeCell ref="H196:J196"/>
    <mergeCell ref="N196:O196"/>
    <mergeCell ref="R196:S196"/>
    <mergeCell ref="T196:U196"/>
    <mergeCell ref="C197:D197"/>
    <mergeCell ref="E197:G197"/>
    <mergeCell ref="H197:J197"/>
    <mergeCell ref="N197:O197"/>
    <mergeCell ref="R197:S197"/>
    <mergeCell ref="T197:U197"/>
    <mergeCell ref="C194:D194"/>
    <mergeCell ref="E194:G194"/>
    <mergeCell ref="H194:J194"/>
    <mergeCell ref="N194:O194"/>
    <mergeCell ref="R194:S194"/>
    <mergeCell ref="T194:U194"/>
    <mergeCell ref="C195:D195"/>
    <mergeCell ref="E195:G195"/>
    <mergeCell ref="H195:J195"/>
    <mergeCell ref="N195:O195"/>
    <mergeCell ref="R195:S195"/>
    <mergeCell ref="T195:U195"/>
    <mergeCell ref="C192:D192"/>
    <mergeCell ref="E192:G192"/>
    <mergeCell ref="H192:J192"/>
    <mergeCell ref="N192:O192"/>
    <mergeCell ref="R192:S192"/>
    <mergeCell ref="T192:U192"/>
    <mergeCell ref="C193:D193"/>
    <mergeCell ref="E193:G193"/>
    <mergeCell ref="H193:J193"/>
    <mergeCell ref="N193:O193"/>
    <mergeCell ref="R193:S193"/>
    <mergeCell ref="T193:U193"/>
    <mergeCell ref="C190:D190"/>
    <mergeCell ref="E190:G190"/>
    <mergeCell ref="H190:J190"/>
    <mergeCell ref="N190:O190"/>
    <mergeCell ref="R190:S190"/>
    <mergeCell ref="T190:U190"/>
    <mergeCell ref="C191:D191"/>
    <mergeCell ref="E191:G191"/>
    <mergeCell ref="H191:J191"/>
    <mergeCell ref="N191:O191"/>
    <mergeCell ref="R191:S191"/>
    <mergeCell ref="T191:U191"/>
    <mergeCell ref="C188:D188"/>
    <mergeCell ref="E188:G188"/>
    <mergeCell ref="H188:J188"/>
    <mergeCell ref="N188:O188"/>
    <mergeCell ref="R188:S188"/>
    <mergeCell ref="T188:U188"/>
    <mergeCell ref="C189:D189"/>
    <mergeCell ref="E189:G189"/>
    <mergeCell ref="H189:J189"/>
    <mergeCell ref="N189:O189"/>
    <mergeCell ref="R189:S189"/>
    <mergeCell ref="T189:U189"/>
    <mergeCell ref="C186:D186"/>
    <mergeCell ref="E186:G186"/>
    <mergeCell ref="H186:J186"/>
    <mergeCell ref="N186:O186"/>
    <mergeCell ref="R186:S186"/>
    <mergeCell ref="T186:U186"/>
    <mergeCell ref="C187:D187"/>
    <mergeCell ref="E187:G187"/>
    <mergeCell ref="H187:J187"/>
    <mergeCell ref="N187:O187"/>
    <mergeCell ref="R187:S187"/>
    <mergeCell ref="T187:U187"/>
    <mergeCell ref="C184:D184"/>
    <mergeCell ref="E184:G184"/>
    <mergeCell ref="H184:J184"/>
    <mergeCell ref="N184:O184"/>
    <mergeCell ref="R184:S184"/>
    <mergeCell ref="T184:U184"/>
    <mergeCell ref="C185:D185"/>
    <mergeCell ref="E185:G185"/>
    <mergeCell ref="H185:J185"/>
    <mergeCell ref="N185:O185"/>
    <mergeCell ref="R185:S185"/>
    <mergeCell ref="T185:U185"/>
    <mergeCell ref="C182:D182"/>
    <mergeCell ref="E182:G182"/>
    <mergeCell ref="H182:J182"/>
    <mergeCell ref="N182:O182"/>
    <mergeCell ref="R182:S182"/>
    <mergeCell ref="T182:U182"/>
    <mergeCell ref="C183:D183"/>
    <mergeCell ref="E183:G183"/>
    <mergeCell ref="H183:J183"/>
    <mergeCell ref="N183:O183"/>
    <mergeCell ref="R183:S183"/>
    <mergeCell ref="T183:U183"/>
    <mergeCell ref="C180:D180"/>
    <mergeCell ref="E180:G180"/>
    <mergeCell ref="H180:J180"/>
    <mergeCell ref="N180:O180"/>
    <mergeCell ref="R180:S180"/>
    <mergeCell ref="T180:U180"/>
    <mergeCell ref="C181:D181"/>
    <mergeCell ref="E181:G181"/>
    <mergeCell ref="H181:J181"/>
    <mergeCell ref="N181:O181"/>
    <mergeCell ref="R181:S181"/>
    <mergeCell ref="T181:U181"/>
    <mergeCell ref="C178:D178"/>
    <mergeCell ref="E178:G178"/>
    <mergeCell ref="H178:J178"/>
    <mergeCell ref="N178:O178"/>
    <mergeCell ref="R178:S178"/>
    <mergeCell ref="T178:U178"/>
    <mergeCell ref="C179:D179"/>
    <mergeCell ref="E179:G179"/>
    <mergeCell ref="H179:J179"/>
    <mergeCell ref="N179:O179"/>
    <mergeCell ref="R179:S179"/>
    <mergeCell ref="T179:U179"/>
    <mergeCell ref="C176:D176"/>
    <mergeCell ref="E176:G176"/>
    <mergeCell ref="H176:J176"/>
    <mergeCell ref="N176:O176"/>
    <mergeCell ref="R176:S176"/>
    <mergeCell ref="T176:U176"/>
    <mergeCell ref="C177:D177"/>
    <mergeCell ref="E177:G177"/>
    <mergeCell ref="H177:J177"/>
    <mergeCell ref="N177:O177"/>
    <mergeCell ref="R177:S177"/>
    <mergeCell ref="T177:U177"/>
    <mergeCell ref="C174:D174"/>
    <mergeCell ref="E174:G174"/>
    <mergeCell ref="H174:J174"/>
    <mergeCell ref="N174:O174"/>
    <mergeCell ref="R174:S174"/>
    <mergeCell ref="T174:U174"/>
    <mergeCell ref="C175:D175"/>
    <mergeCell ref="E175:G175"/>
    <mergeCell ref="H175:J175"/>
    <mergeCell ref="N175:O175"/>
    <mergeCell ref="R175:S175"/>
    <mergeCell ref="T175:U175"/>
    <mergeCell ref="C172:D172"/>
    <mergeCell ref="E172:G172"/>
    <mergeCell ref="H172:J172"/>
    <mergeCell ref="N172:O172"/>
    <mergeCell ref="R172:S172"/>
    <mergeCell ref="T172:U172"/>
    <mergeCell ref="C173:D173"/>
    <mergeCell ref="E173:G173"/>
    <mergeCell ref="H173:J173"/>
    <mergeCell ref="N173:O173"/>
    <mergeCell ref="R173:S173"/>
    <mergeCell ref="T173:U173"/>
    <mergeCell ref="C170:D170"/>
    <mergeCell ref="E170:G170"/>
    <mergeCell ref="H170:J170"/>
    <mergeCell ref="N170:O170"/>
    <mergeCell ref="R170:S170"/>
    <mergeCell ref="T170:U170"/>
    <mergeCell ref="C171:D171"/>
    <mergeCell ref="E171:G171"/>
    <mergeCell ref="H171:J171"/>
    <mergeCell ref="N171:O171"/>
    <mergeCell ref="R171:S171"/>
    <mergeCell ref="T171:U171"/>
    <mergeCell ref="C168:D168"/>
    <mergeCell ref="E168:G168"/>
    <mergeCell ref="H168:J168"/>
    <mergeCell ref="N168:O168"/>
    <mergeCell ref="R168:S168"/>
    <mergeCell ref="T168:U168"/>
    <mergeCell ref="C169:D169"/>
    <mergeCell ref="E169:G169"/>
    <mergeCell ref="H169:J169"/>
    <mergeCell ref="N169:O169"/>
    <mergeCell ref="R169:S169"/>
    <mergeCell ref="T169:U169"/>
    <mergeCell ref="C166:D166"/>
    <mergeCell ref="E166:G166"/>
    <mergeCell ref="H166:J166"/>
    <mergeCell ref="N166:O166"/>
    <mergeCell ref="R166:S166"/>
    <mergeCell ref="T166:U166"/>
    <mergeCell ref="C167:D167"/>
    <mergeCell ref="E167:G167"/>
    <mergeCell ref="H167:J167"/>
    <mergeCell ref="N167:O167"/>
    <mergeCell ref="R167:S167"/>
    <mergeCell ref="T167:U167"/>
    <mergeCell ref="C164:D164"/>
    <mergeCell ref="E164:G164"/>
    <mergeCell ref="H164:J164"/>
    <mergeCell ref="N164:O164"/>
    <mergeCell ref="R164:S164"/>
    <mergeCell ref="T164:U164"/>
    <mergeCell ref="C165:D165"/>
    <mergeCell ref="E165:G165"/>
    <mergeCell ref="H165:J165"/>
    <mergeCell ref="N165:O165"/>
    <mergeCell ref="R165:S165"/>
    <mergeCell ref="T165:U165"/>
    <mergeCell ref="C162:D162"/>
    <mergeCell ref="E162:G162"/>
    <mergeCell ref="H162:J162"/>
    <mergeCell ref="N162:O162"/>
    <mergeCell ref="R162:S162"/>
    <mergeCell ref="T162:U162"/>
    <mergeCell ref="C163:D163"/>
    <mergeCell ref="E163:G163"/>
    <mergeCell ref="H163:J163"/>
    <mergeCell ref="N163:O163"/>
    <mergeCell ref="R163:S163"/>
    <mergeCell ref="T163:U163"/>
    <mergeCell ref="C160:D160"/>
    <mergeCell ref="E160:G160"/>
    <mergeCell ref="H160:J160"/>
    <mergeCell ref="N160:O160"/>
    <mergeCell ref="R160:S160"/>
    <mergeCell ref="T160:U160"/>
    <mergeCell ref="C161:D161"/>
    <mergeCell ref="E161:G161"/>
    <mergeCell ref="H161:J161"/>
    <mergeCell ref="N161:O161"/>
    <mergeCell ref="R161:S161"/>
    <mergeCell ref="T161:U161"/>
    <mergeCell ref="C158:D158"/>
    <mergeCell ref="E158:G158"/>
    <mergeCell ref="H158:J158"/>
    <mergeCell ref="N158:O158"/>
    <mergeCell ref="R158:S158"/>
    <mergeCell ref="T158:U158"/>
    <mergeCell ref="C159:D159"/>
    <mergeCell ref="E159:G159"/>
    <mergeCell ref="H159:J159"/>
    <mergeCell ref="N159:O159"/>
    <mergeCell ref="R159:S159"/>
    <mergeCell ref="T159:U159"/>
    <mergeCell ref="C156:D156"/>
    <mergeCell ref="E156:G156"/>
    <mergeCell ref="H156:J156"/>
    <mergeCell ref="N156:O156"/>
    <mergeCell ref="R156:S156"/>
    <mergeCell ref="T156:U156"/>
    <mergeCell ref="C157:D157"/>
    <mergeCell ref="E157:G157"/>
    <mergeCell ref="H157:J157"/>
    <mergeCell ref="N157:O157"/>
    <mergeCell ref="R157:S157"/>
    <mergeCell ref="T157:U157"/>
    <mergeCell ref="C154:D154"/>
    <mergeCell ref="E154:G154"/>
    <mergeCell ref="H154:J154"/>
    <mergeCell ref="N154:O154"/>
    <mergeCell ref="R154:S154"/>
    <mergeCell ref="T154:U154"/>
    <mergeCell ref="C155:D155"/>
    <mergeCell ref="E155:G155"/>
    <mergeCell ref="H155:J155"/>
    <mergeCell ref="N155:O155"/>
    <mergeCell ref="R155:S155"/>
    <mergeCell ref="T155:U155"/>
    <mergeCell ref="C152:D152"/>
    <mergeCell ref="E152:G152"/>
    <mergeCell ref="H152:J152"/>
    <mergeCell ref="N152:O152"/>
    <mergeCell ref="R152:S152"/>
    <mergeCell ref="T152:U152"/>
    <mergeCell ref="C153:D153"/>
    <mergeCell ref="E153:G153"/>
    <mergeCell ref="H153:J153"/>
    <mergeCell ref="N153:O153"/>
    <mergeCell ref="R153:S153"/>
    <mergeCell ref="T153:U153"/>
    <mergeCell ref="C150:D150"/>
    <mergeCell ref="E150:G150"/>
    <mergeCell ref="H150:J150"/>
    <mergeCell ref="N150:O150"/>
    <mergeCell ref="R150:S150"/>
    <mergeCell ref="T150:U150"/>
    <mergeCell ref="C151:D151"/>
    <mergeCell ref="E151:G151"/>
    <mergeCell ref="H151:J151"/>
    <mergeCell ref="N151:O151"/>
    <mergeCell ref="R151:S151"/>
    <mergeCell ref="T151:U151"/>
    <mergeCell ref="C148:D148"/>
    <mergeCell ref="E148:G148"/>
    <mergeCell ref="H148:J148"/>
    <mergeCell ref="N148:O148"/>
    <mergeCell ref="R148:S148"/>
    <mergeCell ref="T148:U148"/>
    <mergeCell ref="C149:D149"/>
    <mergeCell ref="E149:G149"/>
    <mergeCell ref="H149:J149"/>
    <mergeCell ref="N149:O149"/>
    <mergeCell ref="R149:S149"/>
    <mergeCell ref="T149:U149"/>
    <mergeCell ref="C146:D146"/>
    <mergeCell ref="E146:G146"/>
    <mergeCell ref="H146:J146"/>
    <mergeCell ref="N146:O146"/>
    <mergeCell ref="R146:S146"/>
    <mergeCell ref="T146:U146"/>
    <mergeCell ref="C147:D147"/>
    <mergeCell ref="E147:G147"/>
    <mergeCell ref="H147:J147"/>
    <mergeCell ref="N147:O147"/>
    <mergeCell ref="R147:S147"/>
    <mergeCell ref="T147:U147"/>
    <mergeCell ref="C144:D144"/>
    <mergeCell ref="E144:G144"/>
    <mergeCell ref="H144:J144"/>
    <mergeCell ref="N144:O144"/>
    <mergeCell ref="R144:S144"/>
    <mergeCell ref="T144:U144"/>
    <mergeCell ref="C145:D145"/>
    <mergeCell ref="E145:G145"/>
    <mergeCell ref="H145:J145"/>
    <mergeCell ref="N145:O145"/>
    <mergeCell ref="R145:S145"/>
    <mergeCell ref="T145:U145"/>
    <mergeCell ref="C142:D142"/>
    <mergeCell ref="E142:G142"/>
    <mergeCell ref="H142:J142"/>
    <mergeCell ref="N142:O142"/>
    <mergeCell ref="R142:S142"/>
    <mergeCell ref="T142:U142"/>
    <mergeCell ref="C143:D143"/>
    <mergeCell ref="E143:G143"/>
    <mergeCell ref="H143:J143"/>
    <mergeCell ref="N143:O143"/>
    <mergeCell ref="R143:S143"/>
    <mergeCell ref="T143:U143"/>
    <mergeCell ref="C140:D140"/>
    <mergeCell ref="E140:G140"/>
    <mergeCell ref="H140:J140"/>
    <mergeCell ref="N140:O140"/>
    <mergeCell ref="R140:S140"/>
    <mergeCell ref="T140:U140"/>
    <mergeCell ref="C141:D141"/>
    <mergeCell ref="E141:G141"/>
    <mergeCell ref="H141:J141"/>
    <mergeCell ref="N141:O141"/>
    <mergeCell ref="R141:S141"/>
    <mergeCell ref="T141:U141"/>
    <mergeCell ref="C138:D138"/>
    <mergeCell ref="E138:G138"/>
    <mergeCell ref="H138:J138"/>
    <mergeCell ref="N138:O138"/>
    <mergeCell ref="R138:S138"/>
    <mergeCell ref="T138:U138"/>
    <mergeCell ref="C139:D139"/>
    <mergeCell ref="E139:G139"/>
    <mergeCell ref="H139:J139"/>
    <mergeCell ref="N139:O139"/>
    <mergeCell ref="R139:S139"/>
    <mergeCell ref="T139:U139"/>
    <mergeCell ref="C136:D136"/>
    <mergeCell ref="E136:G136"/>
    <mergeCell ref="H136:J136"/>
    <mergeCell ref="N136:O136"/>
    <mergeCell ref="R136:S136"/>
    <mergeCell ref="T136:U136"/>
    <mergeCell ref="C137:D137"/>
    <mergeCell ref="E137:G137"/>
    <mergeCell ref="H137:J137"/>
    <mergeCell ref="N137:O137"/>
    <mergeCell ref="R137:S137"/>
    <mergeCell ref="T137:U137"/>
    <mergeCell ref="C134:D134"/>
    <mergeCell ref="E134:G134"/>
    <mergeCell ref="H134:J134"/>
    <mergeCell ref="N134:O134"/>
    <mergeCell ref="R134:S134"/>
    <mergeCell ref="T134:U134"/>
    <mergeCell ref="C135:D135"/>
    <mergeCell ref="E135:G135"/>
    <mergeCell ref="H135:J135"/>
    <mergeCell ref="N135:O135"/>
    <mergeCell ref="R135:S135"/>
    <mergeCell ref="T135:U135"/>
    <mergeCell ref="C132:D132"/>
    <mergeCell ref="E132:G132"/>
    <mergeCell ref="H132:J132"/>
    <mergeCell ref="N132:O132"/>
    <mergeCell ref="R132:S132"/>
    <mergeCell ref="T132:U132"/>
    <mergeCell ref="C133:D133"/>
    <mergeCell ref="E133:G133"/>
    <mergeCell ref="H133:J133"/>
    <mergeCell ref="N133:O133"/>
    <mergeCell ref="R133:S133"/>
    <mergeCell ref="T133:U133"/>
    <mergeCell ref="C130:D130"/>
    <mergeCell ref="E130:G130"/>
    <mergeCell ref="H130:J130"/>
    <mergeCell ref="N130:O130"/>
    <mergeCell ref="R130:S130"/>
    <mergeCell ref="T130:U130"/>
    <mergeCell ref="C131:D131"/>
    <mergeCell ref="E131:G131"/>
    <mergeCell ref="H131:J131"/>
    <mergeCell ref="N131:O131"/>
    <mergeCell ref="R131:S131"/>
    <mergeCell ref="T131:U131"/>
    <mergeCell ref="C128:D128"/>
    <mergeCell ref="E128:G128"/>
    <mergeCell ref="H128:J128"/>
    <mergeCell ref="N128:O128"/>
    <mergeCell ref="R128:S128"/>
    <mergeCell ref="T128:U128"/>
    <mergeCell ref="C129:D129"/>
    <mergeCell ref="E129:G129"/>
    <mergeCell ref="H129:J129"/>
    <mergeCell ref="N129:O129"/>
    <mergeCell ref="R129:S129"/>
    <mergeCell ref="T129:U129"/>
    <mergeCell ref="C126:D126"/>
    <mergeCell ref="E126:G126"/>
    <mergeCell ref="H126:J126"/>
    <mergeCell ref="N126:O126"/>
    <mergeCell ref="R126:S126"/>
    <mergeCell ref="T126:U126"/>
    <mergeCell ref="C127:D127"/>
    <mergeCell ref="E127:G127"/>
    <mergeCell ref="H127:J127"/>
    <mergeCell ref="N127:O127"/>
    <mergeCell ref="R127:S127"/>
    <mergeCell ref="T127:U127"/>
    <mergeCell ref="C124:D124"/>
    <mergeCell ref="E124:G124"/>
    <mergeCell ref="H124:J124"/>
    <mergeCell ref="N124:O124"/>
    <mergeCell ref="R124:S124"/>
    <mergeCell ref="T124:U124"/>
    <mergeCell ref="C125:D125"/>
    <mergeCell ref="E125:G125"/>
    <mergeCell ref="H125:J125"/>
    <mergeCell ref="N125:O125"/>
    <mergeCell ref="R125:S125"/>
    <mergeCell ref="T125:U125"/>
    <mergeCell ref="C122:D122"/>
    <mergeCell ref="E122:G122"/>
    <mergeCell ref="H122:J122"/>
    <mergeCell ref="N122:O122"/>
    <mergeCell ref="R122:S122"/>
    <mergeCell ref="T122:U122"/>
    <mergeCell ref="C123:D123"/>
    <mergeCell ref="E123:G123"/>
    <mergeCell ref="H123:J123"/>
    <mergeCell ref="N123:O123"/>
    <mergeCell ref="R123:S123"/>
    <mergeCell ref="T123:U123"/>
    <mergeCell ref="C120:D120"/>
    <mergeCell ref="E120:G120"/>
    <mergeCell ref="H120:J120"/>
    <mergeCell ref="N120:O120"/>
    <mergeCell ref="R120:S120"/>
    <mergeCell ref="T120:U120"/>
    <mergeCell ref="C121:D121"/>
    <mergeCell ref="E121:G121"/>
    <mergeCell ref="H121:J121"/>
    <mergeCell ref="N121:O121"/>
    <mergeCell ref="R121:S121"/>
    <mergeCell ref="T121:U121"/>
    <mergeCell ref="C118:D118"/>
    <mergeCell ref="E118:G118"/>
    <mergeCell ref="H118:J118"/>
    <mergeCell ref="N118:O118"/>
    <mergeCell ref="R118:S118"/>
    <mergeCell ref="T118:U118"/>
    <mergeCell ref="C119:D119"/>
    <mergeCell ref="E119:G119"/>
    <mergeCell ref="H119:J119"/>
    <mergeCell ref="N119:O119"/>
    <mergeCell ref="R119:S119"/>
    <mergeCell ref="T119:U119"/>
    <mergeCell ref="C116:D116"/>
    <mergeCell ref="E116:G116"/>
    <mergeCell ref="H116:J116"/>
    <mergeCell ref="N116:O116"/>
    <mergeCell ref="R116:S116"/>
    <mergeCell ref="T116:U116"/>
    <mergeCell ref="C117:D117"/>
    <mergeCell ref="E117:G117"/>
    <mergeCell ref="H117:J117"/>
    <mergeCell ref="N117:O117"/>
    <mergeCell ref="R117:S117"/>
    <mergeCell ref="T117:U117"/>
    <mergeCell ref="C114:D114"/>
    <mergeCell ref="E114:G114"/>
    <mergeCell ref="H114:J114"/>
    <mergeCell ref="N114:O114"/>
    <mergeCell ref="R114:S114"/>
    <mergeCell ref="T114:U114"/>
    <mergeCell ref="C115:D115"/>
    <mergeCell ref="E115:G115"/>
    <mergeCell ref="H115:J115"/>
    <mergeCell ref="N115:O115"/>
    <mergeCell ref="R115:S115"/>
    <mergeCell ref="T115:U115"/>
    <mergeCell ref="C112:D112"/>
    <mergeCell ref="E112:G112"/>
    <mergeCell ref="H112:J112"/>
    <mergeCell ref="N112:O112"/>
    <mergeCell ref="R112:S112"/>
    <mergeCell ref="T112:U112"/>
    <mergeCell ref="C113:D113"/>
    <mergeCell ref="E113:G113"/>
    <mergeCell ref="H113:J113"/>
    <mergeCell ref="N113:O113"/>
    <mergeCell ref="R113:S113"/>
    <mergeCell ref="T113:U113"/>
    <mergeCell ref="C110:D110"/>
    <mergeCell ref="E110:G110"/>
    <mergeCell ref="H110:J110"/>
    <mergeCell ref="N110:O110"/>
    <mergeCell ref="R110:S110"/>
    <mergeCell ref="T110:U110"/>
    <mergeCell ref="C111:D111"/>
    <mergeCell ref="E111:G111"/>
    <mergeCell ref="H111:J111"/>
    <mergeCell ref="N111:O111"/>
    <mergeCell ref="R111:S111"/>
    <mergeCell ref="T111:U111"/>
    <mergeCell ref="C108:D108"/>
    <mergeCell ref="E108:G108"/>
    <mergeCell ref="H108:J108"/>
    <mergeCell ref="N108:O108"/>
    <mergeCell ref="R108:S108"/>
    <mergeCell ref="T108:U108"/>
    <mergeCell ref="C109:D109"/>
    <mergeCell ref="E109:G109"/>
    <mergeCell ref="H109:J109"/>
    <mergeCell ref="N109:O109"/>
    <mergeCell ref="R109:S109"/>
    <mergeCell ref="T109:U109"/>
    <mergeCell ref="C106:D106"/>
    <mergeCell ref="E106:G106"/>
    <mergeCell ref="H106:J106"/>
    <mergeCell ref="N106:O106"/>
    <mergeCell ref="R106:S106"/>
    <mergeCell ref="T106:U106"/>
    <mergeCell ref="C107:D107"/>
    <mergeCell ref="E107:G107"/>
    <mergeCell ref="H107:J107"/>
    <mergeCell ref="N107:O107"/>
    <mergeCell ref="R107:S107"/>
    <mergeCell ref="T107:U107"/>
    <mergeCell ref="C104:D104"/>
    <mergeCell ref="E104:G104"/>
    <mergeCell ref="H104:J104"/>
    <mergeCell ref="N104:O104"/>
    <mergeCell ref="R104:S104"/>
    <mergeCell ref="T104:U104"/>
    <mergeCell ref="C105:D105"/>
    <mergeCell ref="E105:G105"/>
    <mergeCell ref="H105:J105"/>
    <mergeCell ref="N105:O105"/>
    <mergeCell ref="R105:S105"/>
    <mergeCell ref="T105:U105"/>
    <mergeCell ref="C102:D102"/>
    <mergeCell ref="E102:G102"/>
    <mergeCell ref="H102:J102"/>
    <mergeCell ref="N102:O102"/>
    <mergeCell ref="R102:S102"/>
    <mergeCell ref="T102:U102"/>
    <mergeCell ref="C103:D103"/>
    <mergeCell ref="E103:G103"/>
    <mergeCell ref="H103:J103"/>
    <mergeCell ref="N103:O103"/>
    <mergeCell ref="R103:S103"/>
    <mergeCell ref="T103:U103"/>
    <mergeCell ref="C100:D100"/>
    <mergeCell ref="E100:G100"/>
    <mergeCell ref="H100:J100"/>
    <mergeCell ref="N100:O100"/>
    <mergeCell ref="R100:S100"/>
    <mergeCell ref="T100:U100"/>
    <mergeCell ref="C101:D101"/>
    <mergeCell ref="E101:G101"/>
    <mergeCell ref="H101:J101"/>
    <mergeCell ref="N101:O101"/>
    <mergeCell ref="R101:S101"/>
    <mergeCell ref="T101:U101"/>
    <mergeCell ref="C98:D98"/>
    <mergeCell ref="E98:G98"/>
    <mergeCell ref="H98:J98"/>
    <mergeCell ref="N98:O98"/>
    <mergeCell ref="R98:S98"/>
    <mergeCell ref="T98:U98"/>
    <mergeCell ref="C99:D99"/>
    <mergeCell ref="E99:G99"/>
    <mergeCell ref="H99:J99"/>
    <mergeCell ref="N99:O99"/>
    <mergeCell ref="R99:S99"/>
    <mergeCell ref="T99:U99"/>
    <mergeCell ref="C96:D96"/>
    <mergeCell ref="E96:G96"/>
    <mergeCell ref="H96:J96"/>
    <mergeCell ref="N96:O96"/>
    <mergeCell ref="R96:S96"/>
    <mergeCell ref="T96:U96"/>
    <mergeCell ref="C97:D97"/>
    <mergeCell ref="E97:G97"/>
    <mergeCell ref="H97:J97"/>
    <mergeCell ref="N97:O97"/>
    <mergeCell ref="R97:S97"/>
    <mergeCell ref="T97:U97"/>
    <mergeCell ref="C94:D94"/>
    <mergeCell ref="E94:G94"/>
    <mergeCell ref="H94:J94"/>
    <mergeCell ref="N94:O94"/>
    <mergeCell ref="R94:S94"/>
    <mergeCell ref="T94:U94"/>
    <mergeCell ref="C95:D95"/>
    <mergeCell ref="E95:G95"/>
    <mergeCell ref="H95:J95"/>
    <mergeCell ref="N95:O95"/>
    <mergeCell ref="R95:S95"/>
    <mergeCell ref="T95:U95"/>
    <mergeCell ref="C92:D92"/>
    <mergeCell ref="E92:G92"/>
    <mergeCell ref="H92:J92"/>
    <mergeCell ref="N92:O92"/>
    <mergeCell ref="R92:S92"/>
    <mergeCell ref="T92:U92"/>
    <mergeCell ref="C93:D93"/>
    <mergeCell ref="E93:G93"/>
    <mergeCell ref="H93:J93"/>
    <mergeCell ref="N93:O93"/>
    <mergeCell ref="R93:S93"/>
    <mergeCell ref="T93:U93"/>
    <mergeCell ref="C90:D90"/>
    <mergeCell ref="E90:G90"/>
    <mergeCell ref="H90:J90"/>
    <mergeCell ref="N90:O90"/>
    <mergeCell ref="R90:S90"/>
    <mergeCell ref="T90:U90"/>
    <mergeCell ref="C91:D91"/>
    <mergeCell ref="E91:G91"/>
    <mergeCell ref="H91:J91"/>
    <mergeCell ref="N91:O91"/>
    <mergeCell ref="R91:S91"/>
    <mergeCell ref="T91:U91"/>
    <mergeCell ref="C88:D88"/>
    <mergeCell ref="E88:G88"/>
    <mergeCell ref="H88:J88"/>
    <mergeCell ref="N88:O88"/>
    <mergeCell ref="R88:S88"/>
    <mergeCell ref="T88:U88"/>
    <mergeCell ref="C89:D89"/>
    <mergeCell ref="E89:G89"/>
    <mergeCell ref="H89:J89"/>
    <mergeCell ref="N89:O89"/>
    <mergeCell ref="R89:S89"/>
    <mergeCell ref="T89:U89"/>
    <mergeCell ref="C86:D86"/>
    <mergeCell ref="E86:G86"/>
    <mergeCell ref="H86:J86"/>
    <mergeCell ref="N86:O86"/>
    <mergeCell ref="R86:S86"/>
    <mergeCell ref="T86:U86"/>
    <mergeCell ref="C87:D87"/>
    <mergeCell ref="E87:G87"/>
    <mergeCell ref="H87:J87"/>
    <mergeCell ref="N87:O87"/>
    <mergeCell ref="R87:S87"/>
    <mergeCell ref="T87:U87"/>
    <mergeCell ref="C84:D84"/>
    <mergeCell ref="E84:G84"/>
    <mergeCell ref="H84:J84"/>
    <mergeCell ref="N84:O84"/>
    <mergeCell ref="R84:S84"/>
    <mergeCell ref="T84:U84"/>
    <mergeCell ref="C85:D85"/>
    <mergeCell ref="E85:G85"/>
    <mergeCell ref="H85:J85"/>
    <mergeCell ref="N85:O85"/>
    <mergeCell ref="R85:S85"/>
    <mergeCell ref="T85:U85"/>
    <mergeCell ref="C82:D82"/>
    <mergeCell ref="E82:G82"/>
    <mergeCell ref="H82:J82"/>
    <mergeCell ref="N82:O82"/>
    <mergeCell ref="R82:S82"/>
    <mergeCell ref="T82:U82"/>
    <mergeCell ref="C83:D83"/>
    <mergeCell ref="E83:G83"/>
    <mergeCell ref="H83:J83"/>
    <mergeCell ref="N83:O83"/>
    <mergeCell ref="R83:S83"/>
    <mergeCell ref="T83:U83"/>
    <mergeCell ref="C80:D80"/>
    <mergeCell ref="E80:G80"/>
    <mergeCell ref="H80:J80"/>
    <mergeCell ref="N80:O80"/>
    <mergeCell ref="R80:S80"/>
    <mergeCell ref="T80:U80"/>
    <mergeCell ref="C81:D81"/>
    <mergeCell ref="E81:G81"/>
    <mergeCell ref="H81:J81"/>
    <mergeCell ref="N81:O81"/>
    <mergeCell ref="R81:S81"/>
    <mergeCell ref="T81:U81"/>
    <mergeCell ref="C78:D78"/>
    <mergeCell ref="E78:G78"/>
    <mergeCell ref="H78:J78"/>
    <mergeCell ref="N78:O78"/>
    <mergeCell ref="R78:S78"/>
    <mergeCell ref="T78:U78"/>
    <mergeCell ref="C79:D79"/>
    <mergeCell ref="E79:G79"/>
    <mergeCell ref="H79:J79"/>
    <mergeCell ref="N79:O79"/>
    <mergeCell ref="R79:S79"/>
    <mergeCell ref="T79:U79"/>
    <mergeCell ref="C76:D76"/>
    <mergeCell ref="E76:G76"/>
    <mergeCell ref="H76:J76"/>
    <mergeCell ref="N76:O76"/>
    <mergeCell ref="R76:S76"/>
    <mergeCell ref="T76:U76"/>
    <mergeCell ref="C77:D77"/>
    <mergeCell ref="E77:G77"/>
    <mergeCell ref="H77:J77"/>
    <mergeCell ref="N77:O77"/>
    <mergeCell ref="R77:S77"/>
    <mergeCell ref="T77:U77"/>
    <mergeCell ref="C74:D74"/>
    <mergeCell ref="E74:G74"/>
    <mergeCell ref="H74:J74"/>
    <mergeCell ref="N74:O74"/>
    <mergeCell ref="R74:S74"/>
    <mergeCell ref="T74:U74"/>
    <mergeCell ref="C75:D75"/>
    <mergeCell ref="E75:G75"/>
    <mergeCell ref="H75:J75"/>
    <mergeCell ref="N75:O75"/>
    <mergeCell ref="R75:S75"/>
    <mergeCell ref="T75:U75"/>
    <mergeCell ref="C72:D72"/>
    <mergeCell ref="E72:G72"/>
    <mergeCell ref="H72:J72"/>
    <mergeCell ref="N72:O72"/>
    <mergeCell ref="R72:S72"/>
    <mergeCell ref="T72:U72"/>
    <mergeCell ref="C73:D73"/>
    <mergeCell ref="E73:G73"/>
    <mergeCell ref="H73:J73"/>
    <mergeCell ref="N73:O73"/>
    <mergeCell ref="R73:S73"/>
    <mergeCell ref="T73:U73"/>
    <mergeCell ref="C70:D70"/>
    <mergeCell ref="E70:G70"/>
    <mergeCell ref="H70:J70"/>
    <mergeCell ref="N70:O70"/>
    <mergeCell ref="R70:S70"/>
    <mergeCell ref="T70:U70"/>
    <mergeCell ref="C71:D71"/>
    <mergeCell ref="E71:G71"/>
    <mergeCell ref="H71:J71"/>
    <mergeCell ref="N71:O71"/>
    <mergeCell ref="R71:S71"/>
    <mergeCell ref="T71:U71"/>
    <mergeCell ref="C68:D68"/>
    <mergeCell ref="E68:G68"/>
    <mergeCell ref="H68:J68"/>
    <mergeCell ref="N68:O68"/>
    <mergeCell ref="R68:S68"/>
    <mergeCell ref="T68:U68"/>
    <mergeCell ref="C69:D69"/>
    <mergeCell ref="E69:G69"/>
    <mergeCell ref="H69:J69"/>
    <mergeCell ref="N69:O69"/>
    <mergeCell ref="R69:S69"/>
    <mergeCell ref="T69:U69"/>
    <mergeCell ref="C66:D66"/>
    <mergeCell ref="E66:G66"/>
    <mergeCell ref="H66:J66"/>
    <mergeCell ref="N66:O66"/>
    <mergeCell ref="R66:S66"/>
    <mergeCell ref="T66:U66"/>
    <mergeCell ref="C67:D67"/>
    <mergeCell ref="E67:G67"/>
    <mergeCell ref="H67:J67"/>
    <mergeCell ref="N67:O67"/>
    <mergeCell ref="R67:S67"/>
    <mergeCell ref="T67:U67"/>
    <mergeCell ref="C64:D64"/>
    <mergeCell ref="E64:G64"/>
    <mergeCell ref="H64:J64"/>
    <mergeCell ref="N64:O64"/>
    <mergeCell ref="R64:S64"/>
    <mergeCell ref="T64:U64"/>
    <mergeCell ref="C65:D65"/>
    <mergeCell ref="E65:G65"/>
    <mergeCell ref="H65:J65"/>
    <mergeCell ref="N65:O65"/>
    <mergeCell ref="R65:S65"/>
    <mergeCell ref="T65:U65"/>
    <mergeCell ref="C62:D62"/>
    <mergeCell ref="E62:G62"/>
    <mergeCell ref="H62:J62"/>
    <mergeCell ref="N62:O62"/>
    <mergeCell ref="R62:S62"/>
    <mergeCell ref="T62:U62"/>
    <mergeCell ref="C63:D63"/>
    <mergeCell ref="E63:G63"/>
    <mergeCell ref="H63:J63"/>
    <mergeCell ref="N63:O63"/>
    <mergeCell ref="R63:S63"/>
    <mergeCell ref="T63:U63"/>
    <mergeCell ref="T61:U61"/>
    <mergeCell ref="C61:D61"/>
    <mergeCell ref="E61:G61"/>
    <mergeCell ref="H61:J61"/>
    <mergeCell ref="N61:O61"/>
    <mergeCell ref="R61:S61"/>
    <mergeCell ref="T59:U59"/>
    <mergeCell ref="X59:Y59"/>
    <mergeCell ref="AB59:AC59"/>
    <mergeCell ref="AD59:AE59"/>
    <mergeCell ref="C60:D60"/>
    <mergeCell ref="E60:G60"/>
    <mergeCell ref="H60:J60"/>
    <mergeCell ref="N60:O60"/>
    <mergeCell ref="R60:S60"/>
    <mergeCell ref="T60:U60"/>
    <mergeCell ref="X60:Y60"/>
    <mergeCell ref="AB60:AC60"/>
    <mergeCell ref="AD60:AE60"/>
    <mergeCell ref="C59:D59"/>
    <mergeCell ref="E59:G59"/>
    <mergeCell ref="H59:J59"/>
    <mergeCell ref="N59:O59"/>
    <mergeCell ref="R59:S59"/>
    <mergeCell ref="T57:U57"/>
    <mergeCell ref="X57:Y57"/>
    <mergeCell ref="AB57:AC57"/>
    <mergeCell ref="AD57:AE57"/>
    <mergeCell ref="C58:D58"/>
    <mergeCell ref="E58:G58"/>
    <mergeCell ref="H58:J58"/>
    <mergeCell ref="N58:O58"/>
    <mergeCell ref="R58:S58"/>
    <mergeCell ref="T58:U58"/>
    <mergeCell ref="X58:Y58"/>
    <mergeCell ref="AB58:AC58"/>
    <mergeCell ref="AD58:AE58"/>
    <mergeCell ref="C57:D57"/>
    <mergeCell ref="E57:G57"/>
    <mergeCell ref="H57:J57"/>
    <mergeCell ref="N57:O57"/>
    <mergeCell ref="R57:S57"/>
    <mergeCell ref="T55:U55"/>
    <mergeCell ref="X55:Y55"/>
    <mergeCell ref="AB55:AC55"/>
    <mergeCell ref="AD55:AE55"/>
    <mergeCell ref="C56:D56"/>
    <mergeCell ref="E56:G56"/>
    <mergeCell ref="H56:J56"/>
    <mergeCell ref="N56:O56"/>
    <mergeCell ref="R56:S56"/>
    <mergeCell ref="T56:U56"/>
    <mergeCell ref="X56:Y56"/>
    <mergeCell ref="AB56:AC56"/>
    <mergeCell ref="AD56:AE56"/>
    <mergeCell ref="C55:D55"/>
    <mergeCell ref="E55:G55"/>
    <mergeCell ref="H55:J55"/>
    <mergeCell ref="N55:O55"/>
    <mergeCell ref="R55:S55"/>
    <mergeCell ref="T53:U53"/>
    <mergeCell ref="X53:Y53"/>
    <mergeCell ref="AB53:AC53"/>
    <mergeCell ref="AD53:AE53"/>
    <mergeCell ref="C54:D54"/>
    <mergeCell ref="E54:G54"/>
    <mergeCell ref="H54:J54"/>
    <mergeCell ref="N54:O54"/>
    <mergeCell ref="R54:S54"/>
    <mergeCell ref="T54:U54"/>
    <mergeCell ref="X54:Y54"/>
    <mergeCell ref="AB54:AC54"/>
    <mergeCell ref="AD54:AE54"/>
    <mergeCell ref="C53:D53"/>
    <mergeCell ref="E53:G53"/>
    <mergeCell ref="H53:J53"/>
    <mergeCell ref="N53:O53"/>
    <mergeCell ref="R53:S53"/>
    <mergeCell ref="T51:U51"/>
    <mergeCell ref="X51:Y51"/>
    <mergeCell ref="AB51:AC51"/>
    <mergeCell ref="AD51:AE51"/>
    <mergeCell ref="C52:D52"/>
    <mergeCell ref="E52:G52"/>
    <mergeCell ref="H52:J52"/>
    <mergeCell ref="N52:O52"/>
    <mergeCell ref="R52:S52"/>
    <mergeCell ref="T52:U52"/>
    <mergeCell ref="X52:Y52"/>
    <mergeCell ref="AB52:AC52"/>
    <mergeCell ref="AD52:AE52"/>
    <mergeCell ref="C51:D51"/>
    <mergeCell ref="E51:G51"/>
    <mergeCell ref="H51:J51"/>
    <mergeCell ref="N51:O51"/>
    <mergeCell ref="R51:S51"/>
    <mergeCell ref="T49:U49"/>
    <mergeCell ref="X49:Y49"/>
    <mergeCell ref="AB49:AC49"/>
    <mergeCell ref="AD49:AE49"/>
    <mergeCell ref="C50:D50"/>
    <mergeCell ref="E50:G50"/>
    <mergeCell ref="H50:J50"/>
    <mergeCell ref="N50:O50"/>
    <mergeCell ref="R50:S50"/>
    <mergeCell ref="T50:U50"/>
    <mergeCell ref="X50:Y50"/>
    <mergeCell ref="AB50:AC50"/>
    <mergeCell ref="AD50:AE50"/>
    <mergeCell ref="C49:D49"/>
    <mergeCell ref="E49:G49"/>
    <mergeCell ref="H49:J49"/>
    <mergeCell ref="N49:O49"/>
    <mergeCell ref="R49:S49"/>
    <mergeCell ref="T47:U47"/>
    <mergeCell ref="X47:Y47"/>
    <mergeCell ref="AB47:AC47"/>
    <mergeCell ref="AD47:AE47"/>
    <mergeCell ref="C48:D48"/>
    <mergeCell ref="E48:G48"/>
    <mergeCell ref="H48:J48"/>
    <mergeCell ref="N48:O48"/>
    <mergeCell ref="R48:S48"/>
    <mergeCell ref="T48:U48"/>
    <mergeCell ref="X48:Y48"/>
    <mergeCell ref="AB48:AC48"/>
    <mergeCell ref="AD48:AE48"/>
    <mergeCell ref="C47:D47"/>
    <mergeCell ref="E47:G47"/>
    <mergeCell ref="H47:J47"/>
    <mergeCell ref="N47:O47"/>
    <mergeCell ref="R47:S47"/>
    <mergeCell ref="T45:U45"/>
    <mergeCell ref="X45:Y45"/>
    <mergeCell ref="AB45:AC45"/>
    <mergeCell ref="AD45:AE45"/>
    <mergeCell ref="C46:D46"/>
    <mergeCell ref="E46:G46"/>
    <mergeCell ref="H46:J46"/>
    <mergeCell ref="N46:O46"/>
    <mergeCell ref="R46:S46"/>
    <mergeCell ref="T46:U46"/>
    <mergeCell ref="X46:Y46"/>
    <mergeCell ref="AB46:AC46"/>
    <mergeCell ref="AD46:AE46"/>
    <mergeCell ref="C45:D45"/>
    <mergeCell ref="E45:G45"/>
    <mergeCell ref="H45:J45"/>
    <mergeCell ref="N45:O45"/>
    <mergeCell ref="R45:S45"/>
    <mergeCell ref="T43:U43"/>
    <mergeCell ref="X43:Y43"/>
    <mergeCell ref="AB43:AC43"/>
    <mergeCell ref="AD43:AE43"/>
    <mergeCell ref="C44:D44"/>
    <mergeCell ref="E44:G44"/>
    <mergeCell ref="H44:J44"/>
    <mergeCell ref="N44:O44"/>
    <mergeCell ref="R44:S44"/>
    <mergeCell ref="T44:U44"/>
    <mergeCell ref="X44:Y44"/>
    <mergeCell ref="AB44:AC44"/>
    <mergeCell ref="AD44:AE44"/>
    <mergeCell ref="C43:D43"/>
    <mergeCell ref="E43:G43"/>
    <mergeCell ref="H43:J43"/>
    <mergeCell ref="N43:O43"/>
    <mergeCell ref="R43:S43"/>
    <mergeCell ref="C42:D42"/>
    <mergeCell ref="E42:G42"/>
    <mergeCell ref="H42:J42"/>
    <mergeCell ref="N42:O42"/>
    <mergeCell ref="R42:S42"/>
    <mergeCell ref="T42:U42"/>
    <mergeCell ref="X42:Y42"/>
    <mergeCell ref="AB42:AC42"/>
    <mergeCell ref="AD42:AE42"/>
    <mergeCell ref="N39:U39"/>
    <mergeCell ref="X39:AE39"/>
    <mergeCell ref="E40:J40"/>
    <mergeCell ref="N40:S40"/>
    <mergeCell ref="T40:U40"/>
    <mergeCell ref="X40:AC40"/>
    <mergeCell ref="AD40:AE40"/>
    <mergeCell ref="E41:G41"/>
    <mergeCell ref="H41:J41"/>
    <mergeCell ref="N41:O41"/>
    <mergeCell ref="P41:Q41"/>
    <mergeCell ref="X41:Y41"/>
    <mergeCell ref="Z41:AA41"/>
    <mergeCell ref="C40:D40"/>
    <mergeCell ref="C41:D41"/>
    <mergeCell ref="R41:U41"/>
    <mergeCell ref="AB41:AE41"/>
    <mergeCell ref="AB15:AE15"/>
    <mergeCell ref="E9:J9"/>
    <mergeCell ref="R9:U9"/>
    <mergeCell ref="W9:AD9"/>
    <mergeCell ref="E5:J5"/>
    <mergeCell ref="E6:J6"/>
    <mergeCell ref="E7:J7"/>
    <mergeCell ref="E8:J8"/>
    <mergeCell ref="W8:AE8"/>
    <mergeCell ref="E10:J10"/>
    <mergeCell ref="M10:Q13"/>
    <mergeCell ref="R10:U10"/>
    <mergeCell ref="R11:U11"/>
    <mergeCell ref="C11:J11"/>
    <mergeCell ref="R12:U12"/>
    <mergeCell ref="W10:AE10"/>
    <mergeCell ref="C12:F12"/>
    <mergeCell ref="G12:J12"/>
    <mergeCell ref="R13:U13"/>
    <mergeCell ref="W11:AA12"/>
    <mergeCell ref="C13:F15"/>
    <mergeCell ref="G13:J15"/>
    <mergeCell ref="M15:O15"/>
    <mergeCell ref="P15:R15"/>
    <mergeCell ref="S15:U15"/>
    <mergeCell ref="W13:AA15"/>
    <mergeCell ref="AB13:AE13"/>
    <mergeCell ref="AB14:AE14"/>
    <mergeCell ref="M19:U19"/>
    <mergeCell ref="C16:F16"/>
    <mergeCell ref="G16:J16"/>
    <mergeCell ref="M17:O17"/>
    <mergeCell ref="P17:R17"/>
    <mergeCell ref="S17:U17"/>
    <mergeCell ref="W17:AE17"/>
    <mergeCell ref="C20:J20"/>
    <mergeCell ref="C21:H21"/>
    <mergeCell ref="I21:J21"/>
    <mergeCell ref="C27:H27"/>
    <mergeCell ref="I27:J27"/>
    <mergeCell ref="C24:H24"/>
    <mergeCell ref="I24:J24"/>
    <mergeCell ref="C23:H23"/>
    <mergeCell ref="I23:J23"/>
    <mergeCell ref="M24:U24"/>
    <mergeCell ref="C25:H25"/>
    <mergeCell ref="I25:J25"/>
    <mergeCell ref="M25:U25"/>
    <mergeCell ref="C26:H26"/>
    <mergeCell ref="I26:J26"/>
    <mergeCell ref="C22:H22"/>
    <mergeCell ref="I22:J22"/>
    <mergeCell ref="M16:O16"/>
    <mergeCell ref="P16:R16"/>
    <mergeCell ref="S16:U16"/>
  </mergeCells>
  <conditionalFormatting sqref="C26:J26">
    <cfRule type="expression" dxfId="230" priority="28">
      <formula>OR($AV$17=2,$AM$17=1)</formula>
    </cfRule>
  </conditionalFormatting>
  <conditionalFormatting sqref="N20:N21 M19:U19 M22:M23 W11:AB12 Q21">
    <cfRule type="expression" dxfId="229" priority="27">
      <formula>OR($AV$17=2,$AM$17=1)</formula>
    </cfRule>
  </conditionalFormatting>
  <conditionalFormatting sqref="T26:U26">
    <cfRule type="expression" dxfId="228" priority="26">
      <formula>$AH$27=FALSE</formula>
    </cfRule>
  </conditionalFormatting>
  <conditionalFormatting sqref="T27:U27">
    <cfRule type="expression" dxfId="227" priority="25">
      <formula>$AH$28=FALSE</formula>
    </cfRule>
  </conditionalFormatting>
  <conditionalFormatting sqref="T28:U28">
    <cfRule type="expression" dxfId="226" priority="24">
      <formula>$AH$29=FALSE</formula>
    </cfRule>
  </conditionalFormatting>
  <conditionalFormatting sqref="T29:U29">
    <cfRule type="expression" dxfId="225" priority="23">
      <formula>$AH$30=FALSE</formula>
    </cfRule>
  </conditionalFormatting>
  <conditionalFormatting sqref="AD19:AE19">
    <cfRule type="expression" dxfId="224" priority="22">
      <formula>$AH$17=FALSE</formula>
    </cfRule>
  </conditionalFormatting>
  <conditionalFormatting sqref="AD25:AE25">
    <cfRule type="expression" dxfId="223" priority="21">
      <formula>$AH$23=FALSE</formula>
    </cfRule>
  </conditionalFormatting>
  <conditionalFormatting sqref="AD26:AE26">
    <cfRule type="expression" dxfId="222" priority="20">
      <formula>$AH$24=FALSE</formula>
    </cfRule>
  </conditionalFormatting>
  <conditionalFormatting sqref="N21">
    <cfRule type="expression" dxfId="221" priority="19">
      <formula>OR($AM$17=2,$AM$17=3)</formula>
    </cfRule>
  </conditionalFormatting>
  <conditionalFormatting sqref="R42:S243 T42:U243">
    <cfRule type="cellIs" dxfId="220" priority="13" operator="greaterThan">
      <formula>1</formula>
    </cfRule>
  </conditionalFormatting>
  <conditionalFormatting sqref="AB42:AC243 AD42:AE243">
    <cfRule type="cellIs" dxfId="219" priority="12" operator="greaterThan">
      <formula>1</formula>
    </cfRule>
  </conditionalFormatting>
  <conditionalFormatting sqref="R9">
    <cfRule type="expression" dxfId="218" priority="10">
      <formula>$AP$17=2</formula>
    </cfRule>
  </conditionalFormatting>
  <conditionalFormatting sqref="Q9">
    <cfRule type="expression" dxfId="217" priority="9">
      <formula>$AP$17=2</formula>
    </cfRule>
    <cfRule type="expression" dxfId="216" priority="11">
      <formula>$AV$8=2</formula>
    </cfRule>
  </conditionalFormatting>
  <conditionalFormatting sqref="I21:J21">
    <cfRule type="expression" dxfId="215" priority="8">
      <formula>$H$213&gt;0</formula>
    </cfRule>
  </conditionalFormatting>
  <conditionalFormatting sqref="AD27:AE27">
    <cfRule type="expression" dxfId="214" priority="7">
      <formula>$AH$25=FALSE</formula>
    </cfRule>
  </conditionalFormatting>
  <conditionalFormatting sqref="I22:J22">
    <cfRule type="expression" dxfId="213" priority="1">
      <formula>$H$213&gt;0</formula>
    </cfRule>
  </conditionalFormatting>
  <conditionalFormatting sqref="Q42:Q243">
    <cfRule type="cellIs" dxfId="212" priority="16" operator="equal">
      <formula>0</formula>
    </cfRule>
  </conditionalFormatting>
  <conditionalFormatting sqref="AA42:AA243">
    <cfRule type="cellIs" dxfId="211" priority="14" operator="equal">
      <formula>0</formula>
    </cfRule>
  </conditionalFormatting>
  <dataValidations disablePrompts="1" count="4">
    <dataValidation type="decimal" operator="greaterThan" allowBlank="1" showInputMessage="1" showErrorMessage="1" sqref="U29" xr:uid="{00000000-0002-0000-0300-000000000000}">
      <formula1>-0.0001</formula1>
    </dataValidation>
    <dataValidation type="whole" operator="notEqual" allowBlank="1" showInputMessage="1" showErrorMessage="1" sqref="I24:J24 U26:U28 Q22:Q23 AE19 I21:J22 AE25:AE30" xr:uid="{00000000-0002-0000-0300-000001000000}">
      <formula1>-1</formula1>
    </dataValidation>
    <dataValidation type="whole" operator="greaterThan" allowBlank="1" showInputMessage="1" showErrorMessage="1" errorTitle="Bitte Felderanzahl überprüfen" error="Minimal 1 Feld" sqref="I26:J26" xr:uid="{00000000-0002-0000-0300-000002000000}">
      <formula1>0</formula1>
    </dataValidation>
    <dataValidation type="list" allowBlank="1" showInputMessage="1" showErrorMessage="1" sqref="P23" xr:uid="{00000000-0002-0000-0300-000003000000}">
      <formula1>$AM$24:$AM$28</formula1>
    </dataValidation>
  </dataValidations>
  <pageMargins left="0.70866141732283472" right="0.70866141732283472" top="0.78740157480314965" bottom="0.78740157480314965" header="0.31496062992125984" footer="0.31496062992125984"/>
  <pageSetup paperSize="9" scale="75" fitToHeight="0" orientation="landscape" r:id="rId2"/>
  <headerFooter>
    <oddFooter>&amp;LAnwendungstechnik&amp;CStand: 03.05.2022&amp;RVersion: 03.05.2022</oddFooter>
  </headerFooter>
  <rowBreaks count="1" manualBreakCount="1">
    <brk id="37"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2049" r:id="rId5" name="Group Box 1">
              <controlPr defaultSize="0" print="0" autoFill="0" autoPict="0">
                <anchor moveWithCells="1">
                  <from>
                    <xdr:col>12</xdr:col>
                    <xdr:colOff>0</xdr:colOff>
                    <xdr:row>4</xdr:row>
                    <xdr:rowOff>0</xdr:rowOff>
                  </from>
                  <to>
                    <xdr:col>21</xdr:col>
                    <xdr:colOff>0</xdr:colOff>
                    <xdr:row>6</xdr:row>
                    <xdr:rowOff>0</xdr:rowOff>
                  </to>
                </anchor>
              </controlPr>
            </control>
          </mc:Choice>
        </mc:AlternateContent>
        <mc:AlternateContent xmlns:mc="http://schemas.openxmlformats.org/markup-compatibility/2006">
          <mc:Choice Requires="x14">
            <control shapeId="2050" r:id="rId6" name="Group Box 2">
              <controlPr defaultSize="0" print="0" autoFill="0" autoPict="0">
                <anchor moveWithCells="1">
                  <from>
                    <xdr:col>12</xdr:col>
                    <xdr:colOff>0</xdr:colOff>
                    <xdr:row>7</xdr:row>
                    <xdr:rowOff>0</xdr:rowOff>
                  </from>
                  <to>
                    <xdr:col>21</xdr:col>
                    <xdr:colOff>0</xdr:colOff>
                    <xdr:row>9</xdr:row>
                    <xdr:rowOff>0</xdr:rowOff>
                  </to>
                </anchor>
              </controlPr>
            </control>
          </mc:Choice>
        </mc:AlternateContent>
        <mc:AlternateContent xmlns:mc="http://schemas.openxmlformats.org/markup-compatibility/2006">
          <mc:Choice Requires="x14">
            <control shapeId="2051" r:id="rId7" name="Group Box 3">
              <controlPr defaultSize="0" print="0" autoFill="0" autoPict="0">
                <anchor moveWithCells="1">
                  <from>
                    <xdr:col>33</xdr:col>
                    <xdr:colOff>38100</xdr:colOff>
                    <xdr:row>4</xdr:row>
                    <xdr:rowOff>0</xdr:rowOff>
                  </from>
                  <to>
                    <xdr:col>33</xdr:col>
                    <xdr:colOff>403860</xdr:colOff>
                    <xdr:row>6</xdr:row>
                    <xdr:rowOff>0</xdr:rowOff>
                  </to>
                </anchor>
              </controlPr>
            </control>
          </mc:Choice>
        </mc:AlternateContent>
        <mc:AlternateContent xmlns:mc="http://schemas.openxmlformats.org/markup-compatibility/2006">
          <mc:Choice Requires="x14">
            <control shapeId="2052" r:id="rId8" name="Group Box 4">
              <controlPr defaultSize="0" print="0" autoFill="0" autoPict="0">
                <anchor moveWithCells="1">
                  <from>
                    <xdr:col>27</xdr:col>
                    <xdr:colOff>0</xdr:colOff>
                    <xdr:row>10</xdr:row>
                    <xdr:rowOff>0</xdr:rowOff>
                  </from>
                  <to>
                    <xdr:col>31</xdr:col>
                    <xdr:colOff>0</xdr:colOff>
                    <xdr:row>12</xdr:row>
                    <xdr:rowOff>0</xdr:rowOff>
                  </to>
                </anchor>
              </controlPr>
            </control>
          </mc:Choice>
        </mc:AlternateContent>
        <mc:AlternateContent xmlns:mc="http://schemas.openxmlformats.org/markup-compatibility/2006">
          <mc:Choice Requires="x14">
            <control shapeId="2053" r:id="rId9" name="Group Box 5">
              <controlPr defaultSize="0" print="0" autoFill="0" autoPict="0">
                <anchor moveWithCells="1">
                  <from>
                    <xdr:col>27</xdr:col>
                    <xdr:colOff>0</xdr:colOff>
                    <xdr:row>12</xdr:row>
                    <xdr:rowOff>0</xdr:rowOff>
                  </from>
                  <to>
                    <xdr:col>31</xdr:col>
                    <xdr:colOff>0</xdr:colOff>
                    <xdr:row>15</xdr:row>
                    <xdr:rowOff>0</xdr:rowOff>
                  </to>
                </anchor>
              </controlPr>
            </control>
          </mc:Choice>
        </mc:AlternateContent>
        <mc:AlternateContent xmlns:mc="http://schemas.openxmlformats.org/markup-compatibility/2006">
          <mc:Choice Requires="x14">
            <control shapeId="2054" r:id="rId10" name="Group Box 6">
              <controlPr defaultSize="0" print="0" autoFill="0" autoPict="0">
                <anchor moveWithCells="1">
                  <from>
                    <xdr:col>12</xdr:col>
                    <xdr:colOff>0</xdr:colOff>
                    <xdr:row>14</xdr:row>
                    <xdr:rowOff>0</xdr:rowOff>
                  </from>
                  <to>
                    <xdr:col>21</xdr:col>
                    <xdr:colOff>0</xdr:colOff>
                    <xdr:row>17</xdr:row>
                    <xdr:rowOff>0</xdr:rowOff>
                  </to>
                </anchor>
              </controlPr>
            </control>
          </mc:Choice>
        </mc:AlternateContent>
        <mc:AlternateContent xmlns:mc="http://schemas.openxmlformats.org/markup-compatibility/2006">
          <mc:Choice Requires="x14">
            <control shapeId="2055" r:id="rId11" name="Group Box 7">
              <controlPr defaultSize="0" print="0" autoFill="0" autoPict="0">
                <anchor moveWithCells="1">
                  <from>
                    <xdr:col>2</xdr:col>
                    <xdr:colOff>0</xdr:colOff>
                    <xdr:row>15</xdr:row>
                    <xdr:rowOff>0</xdr:rowOff>
                  </from>
                  <to>
                    <xdr:col>6</xdr:col>
                    <xdr:colOff>0</xdr:colOff>
                    <xdr:row>18</xdr:row>
                    <xdr:rowOff>0</xdr:rowOff>
                  </to>
                </anchor>
              </controlPr>
            </control>
          </mc:Choice>
        </mc:AlternateContent>
        <mc:AlternateContent xmlns:mc="http://schemas.openxmlformats.org/markup-compatibility/2006">
          <mc:Choice Requires="x14">
            <control shapeId="2056" r:id="rId12" name="Group Box 8">
              <controlPr defaultSize="0" print="0" autoFill="0" autoPict="0">
                <anchor moveWithCells="1">
                  <from>
                    <xdr:col>5</xdr:col>
                    <xdr:colOff>312420</xdr:colOff>
                    <xdr:row>15</xdr:row>
                    <xdr:rowOff>0</xdr:rowOff>
                  </from>
                  <to>
                    <xdr:col>10</xdr:col>
                    <xdr:colOff>0</xdr:colOff>
                    <xdr:row>18</xdr:row>
                    <xdr:rowOff>0</xdr:rowOff>
                  </to>
                </anchor>
              </controlPr>
            </control>
          </mc:Choice>
        </mc:AlternateContent>
        <mc:AlternateContent xmlns:mc="http://schemas.openxmlformats.org/markup-compatibility/2006">
          <mc:Choice Requires="x14">
            <control shapeId="2057" r:id="rId13" name="Group Box 9">
              <controlPr defaultSize="0" print="0" autoFill="0" autoPict="0">
                <anchor moveWithCells="1">
                  <from>
                    <xdr:col>12</xdr:col>
                    <xdr:colOff>0</xdr:colOff>
                    <xdr:row>19</xdr:row>
                    <xdr:rowOff>0</xdr:rowOff>
                  </from>
                  <to>
                    <xdr:col>17</xdr:col>
                    <xdr:colOff>0</xdr:colOff>
                    <xdr:row>21</xdr:row>
                    <xdr:rowOff>0</xdr:rowOff>
                  </to>
                </anchor>
              </controlPr>
            </control>
          </mc:Choice>
        </mc:AlternateContent>
        <mc:AlternateContent xmlns:mc="http://schemas.openxmlformats.org/markup-compatibility/2006">
          <mc:Choice Requires="x14">
            <control shapeId="2059" r:id="rId14" name="Button 11">
              <controlPr defaultSize="0" print="0" autoFill="0" autoPict="0" macro="[0]!TextAlles">
                <anchor moveWithCells="1" sizeWithCells="1">
                  <from>
                    <xdr:col>2</xdr:col>
                    <xdr:colOff>0</xdr:colOff>
                    <xdr:row>27</xdr:row>
                    <xdr:rowOff>76200</xdr:rowOff>
                  </from>
                  <to>
                    <xdr:col>10</xdr:col>
                    <xdr:colOff>0</xdr:colOff>
                    <xdr:row>29</xdr:row>
                    <xdr:rowOff>45720</xdr:rowOff>
                  </to>
                </anchor>
              </controlPr>
            </control>
          </mc:Choice>
        </mc:AlternateContent>
        <mc:AlternateContent xmlns:mc="http://schemas.openxmlformats.org/markup-compatibility/2006">
          <mc:Choice Requires="x14">
            <control shapeId="2060" r:id="rId15" name="Option Button 12">
              <controlPr defaultSize="0" autoFill="0" autoLine="0" autoPict="0">
                <anchor moveWithCells="1">
                  <from>
                    <xdr:col>5</xdr:col>
                    <xdr:colOff>99060</xdr:colOff>
                    <xdr:row>15</xdr:row>
                    <xdr:rowOff>0</xdr:rowOff>
                  </from>
                  <to>
                    <xdr:col>6</xdr:col>
                    <xdr:colOff>0</xdr:colOff>
                    <xdr:row>16</xdr:row>
                    <xdr:rowOff>0</xdr:rowOff>
                  </to>
                </anchor>
              </controlPr>
            </control>
          </mc:Choice>
        </mc:AlternateContent>
        <mc:AlternateContent xmlns:mc="http://schemas.openxmlformats.org/markup-compatibility/2006">
          <mc:Choice Requires="x14">
            <control shapeId="2061" r:id="rId16" name="Option Button 13">
              <controlPr defaultSize="0" autoFill="0" autoLine="0" autoPict="0">
                <anchor moveWithCells="1">
                  <from>
                    <xdr:col>5</xdr:col>
                    <xdr:colOff>99060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2062" r:id="rId17" name="Option Button 14">
              <controlPr defaultSize="0" autoFill="0" autoLine="0" autoPict="0">
                <anchor moveWithCells="1">
                  <from>
                    <xdr:col>5</xdr:col>
                    <xdr:colOff>99060</xdr:colOff>
                    <xdr:row>17</xdr:row>
                    <xdr:rowOff>0</xdr:rowOff>
                  </from>
                  <to>
                    <xdr:col>6</xdr:col>
                    <xdr:colOff>0</xdr:colOff>
                    <xdr:row>18</xdr:row>
                    <xdr:rowOff>0</xdr:rowOff>
                  </to>
                </anchor>
              </controlPr>
            </control>
          </mc:Choice>
        </mc:AlternateContent>
        <mc:AlternateContent xmlns:mc="http://schemas.openxmlformats.org/markup-compatibility/2006">
          <mc:Choice Requires="x14">
            <control shapeId="2063" r:id="rId18" name="Option Button 15">
              <controlPr defaultSize="0" autoFill="0" autoLine="0" autoPict="0">
                <anchor moveWithCells="1">
                  <from>
                    <xdr:col>9</xdr:col>
                    <xdr:colOff>99060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064" r:id="rId19" name="Option Button 16">
              <controlPr defaultSize="0" autoFill="0" autoLine="0" autoPict="0">
                <anchor moveWithCells="1">
                  <from>
                    <xdr:col>9</xdr:col>
                    <xdr:colOff>99060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065" r:id="rId20" name="Option Button 17">
              <controlPr defaultSize="0" autoFill="0" autoLine="0" autoPict="0">
                <anchor moveWithCells="1">
                  <from>
                    <xdr:col>9</xdr:col>
                    <xdr:colOff>99060</xdr:colOff>
                    <xdr:row>17</xdr:row>
                    <xdr:rowOff>0</xdr:rowOff>
                  </from>
                  <to>
                    <xdr:col>10</xdr:col>
                    <xdr:colOff>0</xdr:colOff>
                    <xdr:row>18</xdr:row>
                    <xdr:rowOff>0</xdr:rowOff>
                  </to>
                </anchor>
              </controlPr>
            </control>
          </mc:Choice>
        </mc:AlternateContent>
        <mc:AlternateContent xmlns:mc="http://schemas.openxmlformats.org/markup-compatibility/2006">
          <mc:Choice Requires="x14">
            <control shapeId="2067" r:id="rId21" name="Option Button 19">
              <controlPr defaultSize="0" autoFill="0" autoLine="0" autoPict="0">
                <anchor moveWithCells="1">
                  <from>
                    <xdr:col>12</xdr:col>
                    <xdr:colOff>121920</xdr:colOff>
                    <xdr:row>16</xdr:row>
                    <xdr:rowOff>0</xdr:rowOff>
                  </from>
                  <to>
                    <xdr:col>14</xdr:col>
                    <xdr:colOff>274320</xdr:colOff>
                    <xdr:row>17</xdr:row>
                    <xdr:rowOff>0</xdr:rowOff>
                  </to>
                </anchor>
              </controlPr>
            </control>
          </mc:Choice>
        </mc:AlternateContent>
        <mc:AlternateContent xmlns:mc="http://schemas.openxmlformats.org/markup-compatibility/2006">
          <mc:Choice Requires="x14">
            <control shapeId="2068" r:id="rId22" name="Option Button 20">
              <controlPr defaultSize="0" autoFill="0" autoLine="0" autoPict="0">
                <anchor moveWithCells="1">
                  <from>
                    <xdr:col>15</xdr:col>
                    <xdr:colOff>144780</xdr:colOff>
                    <xdr:row>15</xdr:row>
                    <xdr:rowOff>0</xdr:rowOff>
                  </from>
                  <to>
                    <xdr:col>17</xdr:col>
                    <xdr:colOff>563880</xdr:colOff>
                    <xdr:row>16</xdr:row>
                    <xdr:rowOff>0</xdr:rowOff>
                  </to>
                </anchor>
              </controlPr>
            </control>
          </mc:Choice>
        </mc:AlternateContent>
        <mc:AlternateContent xmlns:mc="http://schemas.openxmlformats.org/markup-compatibility/2006">
          <mc:Choice Requires="x14">
            <control shapeId="2070" r:id="rId23" name="Option Button 22">
              <controlPr defaultSize="0" autoFill="0" autoLine="0" autoPict="0">
                <anchor moveWithCells="1">
                  <from>
                    <xdr:col>15</xdr:col>
                    <xdr:colOff>144780</xdr:colOff>
                    <xdr:row>16</xdr:row>
                    <xdr:rowOff>0</xdr:rowOff>
                  </from>
                  <to>
                    <xdr:col>17</xdr:col>
                    <xdr:colOff>563880</xdr:colOff>
                    <xdr:row>17</xdr:row>
                    <xdr:rowOff>0</xdr:rowOff>
                  </to>
                </anchor>
              </controlPr>
            </control>
          </mc:Choice>
        </mc:AlternateContent>
        <mc:AlternateContent xmlns:mc="http://schemas.openxmlformats.org/markup-compatibility/2006">
          <mc:Choice Requires="x14">
            <control shapeId="2071" r:id="rId24" name="Option Button 23">
              <controlPr defaultSize="0" autoFill="0" autoLine="0" autoPict="0">
                <anchor moveWithCells="1">
                  <from>
                    <xdr:col>18</xdr:col>
                    <xdr:colOff>152400</xdr:colOff>
                    <xdr:row>16</xdr:row>
                    <xdr:rowOff>0</xdr:rowOff>
                  </from>
                  <to>
                    <xdr:col>20</xdr:col>
                    <xdr:colOff>228600</xdr:colOff>
                    <xdr:row>17</xdr:row>
                    <xdr:rowOff>0</xdr:rowOff>
                  </to>
                </anchor>
              </controlPr>
            </control>
          </mc:Choice>
        </mc:AlternateContent>
        <mc:AlternateContent xmlns:mc="http://schemas.openxmlformats.org/markup-compatibility/2006">
          <mc:Choice Requires="x14">
            <control shapeId="2076" r:id="rId25" name="Option Button 28">
              <controlPr defaultSize="0" autoFill="0" autoLine="0" autoPict="0">
                <anchor moveWithCells="1">
                  <from>
                    <xdr:col>33</xdr:col>
                    <xdr:colOff>121920</xdr:colOff>
                    <xdr:row>5</xdr:row>
                    <xdr:rowOff>38100</xdr:rowOff>
                  </from>
                  <to>
                    <xdr:col>33</xdr:col>
                    <xdr:colOff>213360</xdr:colOff>
                    <xdr:row>5</xdr:row>
                    <xdr:rowOff>114300</xdr:rowOff>
                  </to>
                </anchor>
              </controlPr>
            </control>
          </mc:Choice>
        </mc:AlternateContent>
        <mc:AlternateContent xmlns:mc="http://schemas.openxmlformats.org/markup-compatibility/2006">
          <mc:Choice Requires="x14">
            <control shapeId="2077" r:id="rId26" name="Option Button 29">
              <controlPr defaultSize="0" autoFill="0" autoLine="0" autoPict="0">
                <anchor moveWithCells="1">
                  <from>
                    <xdr:col>33</xdr:col>
                    <xdr:colOff>121920</xdr:colOff>
                    <xdr:row>4</xdr:row>
                    <xdr:rowOff>30480</xdr:rowOff>
                  </from>
                  <to>
                    <xdr:col>33</xdr:col>
                    <xdr:colOff>213360</xdr:colOff>
                    <xdr:row>4</xdr:row>
                    <xdr:rowOff>99060</xdr:rowOff>
                  </to>
                </anchor>
              </controlPr>
            </control>
          </mc:Choice>
        </mc:AlternateContent>
        <mc:AlternateContent xmlns:mc="http://schemas.openxmlformats.org/markup-compatibility/2006">
          <mc:Choice Requires="x14">
            <control shapeId="2078" r:id="rId27" name="Option Button 30">
              <controlPr defaultSize="0" autoFill="0" autoLine="0" autoPict="0">
                <anchor moveWithCells="1">
                  <from>
                    <xdr:col>12</xdr:col>
                    <xdr:colOff>160020</xdr:colOff>
                    <xdr:row>19</xdr:row>
                    <xdr:rowOff>30480</xdr:rowOff>
                  </from>
                  <to>
                    <xdr:col>16</xdr:col>
                    <xdr:colOff>106680</xdr:colOff>
                    <xdr:row>19</xdr:row>
                    <xdr:rowOff>152400</xdr:rowOff>
                  </to>
                </anchor>
              </controlPr>
            </control>
          </mc:Choice>
        </mc:AlternateContent>
        <mc:AlternateContent xmlns:mc="http://schemas.openxmlformats.org/markup-compatibility/2006">
          <mc:Choice Requires="x14">
            <control shapeId="2079" r:id="rId28" name="Option Button 31">
              <controlPr defaultSize="0" autoFill="0" autoLine="0" autoPict="0">
                <anchor moveWithCells="1">
                  <from>
                    <xdr:col>12</xdr:col>
                    <xdr:colOff>160020</xdr:colOff>
                    <xdr:row>20</xdr:row>
                    <xdr:rowOff>30480</xdr:rowOff>
                  </from>
                  <to>
                    <xdr:col>16</xdr:col>
                    <xdr:colOff>106680</xdr:colOff>
                    <xdr:row>20</xdr:row>
                    <xdr:rowOff>152400</xdr:rowOff>
                  </to>
                </anchor>
              </controlPr>
            </control>
          </mc:Choice>
        </mc:AlternateContent>
        <mc:AlternateContent xmlns:mc="http://schemas.openxmlformats.org/markup-compatibility/2006">
          <mc:Choice Requires="x14">
            <control shapeId="2230" r:id="rId29" name="Option Button 182">
              <controlPr defaultSize="0" autoFill="0" autoLine="0" autoPict="0">
                <anchor moveWithCells="1">
                  <from>
                    <xdr:col>14</xdr:col>
                    <xdr:colOff>121920</xdr:colOff>
                    <xdr:row>4</xdr:row>
                    <xdr:rowOff>30480</xdr:rowOff>
                  </from>
                  <to>
                    <xdr:col>18</xdr:col>
                    <xdr:colOff>68580</xdr:colOff>
                    <xdr:row>4</xdr:row>
                    <xdr:rowOff>160020</xdr:rowOff>
                  </to>
                </anchor>
              </controlPr>
            </control>
          </mc:Choice>
        </mc:AlternateContent>
        <mc:AlternateContent xmlns:mc="http://schemas.openxmlformats.org/markup-compatibility/2006">
          <mc:Choice Requires="x14">
            <control shapeId="2231" r:id="rId30" name="Option Button 183">
              <controlPr defaultSize="0" autoFill="0" autoLine="0" autoPict="0">
                <anchor moveWithCells="1">
                  <from>
                    <xdr:col>14</xdr:col>
                    <xdr:colOff>121920</xdr:colOff>
                    <xdr:row>5</xdr:row>
                    <xdr:rowOff>30480</xdr:rowOff>
                  </from>
                  <to>
                    <xdr:col>18</xdr:col>
                    <xdr:colOff>68580</xdr:colOff>
                    <xdr:row>5</xdr:row>
                    <xdr:rowOff>160020</xdr:rowOff>
                  </to>
                </anchor>
              </controlPr>
            </control>
          </mc:Choice>
        </mc:AlternateContent>
        <mc:AlternateContent xmlns:mc="http://schemas.openxmlformats.org/markup-compatibility/2006">
          <mc:Choice Requires="x14">
            <control shapeId="2232" r:id="rId31" name="Option Button 184">
              <controlPr defaultSize="0" autoFill="0" autoLine="0" autoPict="0">
                <anchor moveWithCells="1">
                  <from>
                    <xdr:col>15</xdr:col>
                    <xdr:colOff>198120</xdr:colOff>
                    <xdr:row>7</xdr:row>
                    <xdr:rowOff>22860</xdr:rowOff>
                  </from>
                  <to>
                    <xdr:col>17</xdr:col>
                    <xdr:colOff>160020</xdr:colOff>
                    <xdr:row>7</xdr:row>
                    <xdr:rowOff>160020</xdr:rowOff>
                  </to>
                </anchor>
              </controlPr>
            </control>
          </mc:Choice>
        </mc:AlternateContent>
        <mc:AlternateContent xmlns:mc="http://schemas.openxmlformats.org/markup-compatibility/2006">
          <mc:Choice Requires="x14">
            <control shapeId="2233" r:id="rId32" name="Option Button 185">
              <controlPr defaultSize="0" autoFill="0" autoLine="0" autoPict="0">
                <anchor moveWithCells="1">
                  <from>
                    <xdr:col>17</xdr:col>
                    <xdr:colOff>480060</xdr:colOff>
                    <xdr:row>7</xdr:row>
                    <xdr:rowOff>22860</xdr:rowOff>
                  </from>
                  <to>
                    <xdr:col>19</xdr:col>
                    <xdr:colOff>175260</xdr:colOff>
                    <xdr:row>7</xdr:row>
                    <xdr:rowOff>160020</xdr:rowOff>
                  </to>
                </anchor>
              </controlPr>
            </control>
          </mc:Choice>
        </mc:AlternateContent>
        <mc:AlternateContent xmlns:mc="http://schemas.openxmlformats.org/markup-compatibility/2006">
          <mc:Choice Requires="x14">
            <control shapeId="2252" r:id="rId33" name="Option Button 204">
              <controlPr defaultSize="0" autoFill="0" autoLine="0" autoPict="0">
                <anchor moveWithCells="1">
                  <from>
                    <xdr:col>27</xdr:col>
                    <xdr:colOff>7620</xdr:colOff>
                    <xdr:row>10</xdr:row>
                    <xdr:rowOff>30480</xdr:rowOff>
                  </from>
                  <to>
                    <xdr:col>30</xdr:col>
                    <xdr:colOff>342900</xdr:colOff>
                    <xdr:row>10</xdr:row>
                    <xdr:rowOff>182880</xdr:rowOff>
                  </to>
                </anchor>
              </controlPr>
            </control>
          </mc:Choice>
        </mc:AlternateContent>
        <mc:AlternateContent xmlns:mc="http://schemas.openxmlformats.org/markup-compatibility/2006">
          <mc:Choice Requires="x14">
            <control shapeId="2253" r:id="rId34" name="Option Button 205">
              <controlPr defaultSize="0" autoFill="0" autoLine="0" autoPict="0">
                <anchor moveWithCells="1">
                  <from>
                    <xdr:col>27</xdr:col>
                    <xdr:colOff>7620</xdr:colOff>
                    <xdr:row>11</xdr:row>
                    <xdr:rowOff>30480</xdr:rowOff>
                  </from>
                  <to>
                    <xdr:col>30</xdr:col>
                    <xdr:colOff>342900</xdr:colOff>
                    <xdr:row>11</xdr:row>
                    <xdr:rowOff>182880</xdr:rowOff>
                  </to>
                </anchor>
              </controlPr>
            </control>
          </mc:Choice>
        </mc:AlternateContent>
        <mc:AlternateContent xmlns:mc="http://schemas.openxmlformats.org/markup-compatibility/2006">
          <mc:Choice Requires="x14">
            <control shapeId="2254" r:id="rId35" name="Option Button 206">
              <controlPr defaultSize="0" autoFill="0" autoLine="0" autoPict="0">
                <anchor moveWithCells="1">
                  <from>
                    <xdr:col>27</xdr:col>
                    <xdr:colOff>7620</xdr:colOff>
                    <xdr:row>12</xdr:row>
                    <xdr:rowOff>30480</xdr:rowOff>
                  </from>
                  <to>
                    <xdr:col>30</xdr:col>
                    <xdr:colOff>342900</xdr:colOff>
                    <xdr:row>12</xdr:row>
                    <xdr:rowOff>182880</xdr:rowOff>
                  </to>
                </anchor>
              </controlPr>
            </control>
          </mc:Choice>
        </mc:AlternateContent>
        <mc:AlternateContent xmlns:mc="http://schemas.openxmlformats.org/markup-compatibility/2006">
          <mc:Choice Requires="x14">
            <control shapeId="2255" r:id="rId36" name="Option Button 207">
              <controlPr defaultSize="0" autoFill="0" autoLine="0" autoPict="0">
                <anchor moveWithCells="1">
                  <from>
                    <xdr:col>27</xdr:col>
                    <xdr:colOff>7620</xdr:colOff>
                    <xdr:row>13</xdr:row>
                    <xdr:rowOff>22860</xdr:rowOff>
                  </from>
                  <to>
                    <xdr:col>30</xdr:col>
                    <xdr:colOff>342900</xdr:colOff>
                    <xdr:row>13</xdr:row>
                    <xdr:rowOff>152400</xdr:rowOff>
                  </to>
                </anchor>
              </controlPr>
            </control>
          </mc:Choice>
        </mc:AlternateContent>
        <mc:AlternateContent xmlns:mc="http://schemas.openxmlformats.org/markup-compatibility/2006">
          <mc:Choice Requires="x14">
            <control shapeId="2256" r:id="rId37" name="Option Button 208">
              <controlPr defaultSize="0" autoFill="0" autoLine="0" autoPict="0">
                <anchor moveWithCells="1">
                  <from>
                    <xdr:col>27</xdr:col>
                    <xdr:colOff>7620</xdr:colOff>
                    <xdr:row>14</xdr:row>
                    <xdr:rowOff>30480</xdr:rowOff>
                  </from>
                  <to>
                    <xdr:col>30</xdr:col>
                    <xdr:colOff>342900</xdr:colOff>
                    <xdr:row>14</xdr:row>
                    <xdr:rowOff>182880</xdr:rowOff>
                  </to>
                </anchor>
              </controlPr>
            </control>
          </mc:Choice>
        </mc:AlternateContent>
        <mc:AlternateContent xmlns:mc="http://schemas.openxmlformats.org/markup-compatibility/2006">
          <mc:Choice Requires="x14">
            <control shapeId="2263" r:id="rId38" name="Check Box 215">
              <controlPr defaultSize="0" autoFill="0" autoLine="0" autoPict="0">
                <anchor moveWithCells="1">
                  <from>
                    <xdr:col>17</xdr:col>
                    <xdr:colOff>0</xdr:colOff>
                    <xdr:row>11</xdr:row>
                    <xdr:rowOff>30480</xdr:rowOff>
                  </from>
                  <to>
                    <xdr:col>17</xdr:col>
                    <xdr:colOff>190500</xdr:colOff>
                    <xdr:row>11</xdr:row>
                    <xdr:rowOff>160020</xdr:rowOff>
                  </to>
                </anchor>
              </controlPr>
            </control>
          </mc:Choice>
        </mc:AlternateContent>
        <mc:AlternateContent xmlns:mc="http://schemas.openxmlformats.org/markup-compatibility/2006">
          <mc:Choice Requires="x14">
            <control shapeId="2264" r:id="rId39" name="Check Box 216">
              <controlPr defaultSize="0" autoFill="0" autoLine="0" autoPict="0">
                <anchor moveWithCells="1">
                  <from>
                    <xdr:col>17</xdr:col>
                    <xdr:colOff>0</xdr:colOff>
                    <xdr:row>10</xdr:row>
                    <xdr:rowOff>22860</xdr:rowOff>
                  </from>
                  <to>
                    <xdr:col>17</xdr:col>
                    <xdr:colOff>190500</xdr:colOff>
                    <xdr:row>10</xdr:row>
                    <xdr:rowOff>160020</xdr:rowOff>
                  </to>
                </anchor>
              </controlPr>
            </control>
          </mc:Choice>
        </mc:AlternateContent>
        <mc:AlternateContent xmlns:mc="http://schemas.openxmlformats.org/markup-compatibility/2006">
          <mc:Choice Requires="x14">
            <control shapeId="2265" r:id="rId40" name="Check Box 217">
              <controlPr defaultSize="0" autoFill="0" autoLine="0" autoPict="0">
                <anchor moveWithCells="1">
                  <from>
                    <xdr:col>17</xdr:col>
                    <xdr:colOff>0</xdr:colOff>
                    <xdr:row>9</xdr:row>
                    <xdr:rowOff>22860</xdr:rowOff>
                  </from>
                  <to>
                    <xdr:col>17</xdr:col>
                    <xdr:colOff>190500</xdr:colOff>
                    <xdr:row>9</xdr:row>
                    <xdr:rowOff>160020</xdr:rowOff>
                  </to>
                </anchor>
              </controlPr>
            </control>
          </mc:Choice>
        </mc:AlternateContent>
        <mc:AlternateContent xmlns:mc="http://schemas.openxmlformats.org/markup-compatibility/2006">
          <mc:Choice Requires="x14">
            <control shapeId="2266" r:id="rId41" name="Check Box 218">
              <controlPr defaultSize="0" autoFill="0" autoLine="0" autoPict="0">
                <anchor moveWithCells="1">
                  <from>
                    <xdr:col>16</xdr:col>
                    <xdr:colOff>312420</xdr:colOff>
                    <xdr:row>12</xdr:row>
                    <xdr:rowOff>22860</xdr:rowOff>
                  </from>
                  <to>
                    <xdr:col>17</xdr:col>
                    <xdr:colOff>190500</xdr:colOff>
                    <xdr:row>12</xdr:row>
                    <xdr:rowOff>160020</xdr:rowOff>
                  </to>
                </anchor>
              </controlPr>
            </control>
          </mc:Choice>
        </mc:AlternateContent>
        <mc:AlternateContent xmlns:mc="http://schemas.openxmlformats.org/markup-compatibility/2006">
          <mc:Choice Requires="x14">
            <control shapeId="2291" r:id="rId42" name="Check Box 243">
              <controlPr defaultSize="0" autoFill="0" autoLine="0" autoPict="0">
                <anchor moveWithCells="1">
                  <from>
                    <xdr:col>21</xdr:col>
                    <xdr:colOff>304800</xdr:colOff>
                    <xdr:row>17</xdr:row>
                    <xdr:rowOff>30480</xdr:rowOff>
                  </from>
                  <to>
                    <xdr:col>22</xdr:col>
                    <xdr:colOff>182880</xdr:colOff>
                    <xdr:row>17</xdr:row>
                    <xdr:rowOff>152400</xdr:rowOff>
                  </to>
                </anchor>
              </controlPr>
            </control>
          </mc:Choice>
        </mc:AlternateContent>
        <mc:AlternateContent xmlns:mc="http://schemas.openxmlformats.org/markup-compatibility/2006">
          <mc:Choice Requires="x14">
            <control shapeId="2292" r:id="rId43" name="Check Box 244">
              <controlPr defaultSize="0" autoFill="0" autoLine="0" autoPict="0">
                <anchor moveWithCells="1">
                  <from>
                    <xdr:col>21</xdr:col>
                    <xdr:colOff>304800</xdr:colOff>
                    <xdr:row>18</xdr:row>
                    <xdr:rowOff>30480</xdr:rowOff>
                  </from>
                  <to>
                    <xdr:col>22</xdr:col>
                    <xdr:colOff>182880</xdr:colOff>
                    <xdr:row>18</xdr:row>
                    <xdr:rowOff>182880</xdr:rowOff>
                  </to>
                </anchor>
              </controlPr>
            </control>
          </mc:Choice>
        </mc:AlternateContent>
        <mc:AlternateContent xmlns:mc="http://schemas.openxmlformats.org/markup-compatibility/2006">
          <mc:Choice Requires="x14">
            <control shapeId="2293" r:id="rId44" name="Check Box 245">
              <controlPr defaultSize="0" autoFill="0" autoLine="0" autoPict="0">
                <anchor moveWithCells="1">
                  <from>
                    <xdr:col>21</xdr:col>
                    <xdr:colOff>304800</xdr:colOff>
                    <xdr:row>19</xdr:row>
                    <xdr:rowOff>22860</xdr:rowOff>
                  </from>
                  <to>
                    <xdr:col>22</xdr:col>
                    <xdr:colOff>182880</xdr:colOff>
                    <xdr:row>19</xdr:row>
                    <xdr:rowOff>152400</xdr:rowOff>
                  </to>
                </anchor>
              </controlPr>
            </control>
          </mc:Choice>
        </mc:AlternateContent>
        <mc:AlternateContent xmlns:mc="http://schemas.openxmlformats.org/markup-compatibility/2006">
          <mc:Choice Requires="x14">
            <control shapeId="2294" r:id="rId45" name="Check Box 246">
              <controlPr defaultSize="0" autoFill="0" autoLine="0" autoPict="0">
                <anchor moveWithCells="1">
                  <from>
                    <xdr:col>21</xdr:col>
                    <xdr:colOff>304800</xdr:colOff>
                    <xdr:row>20</xdr:row>
                    <xdr:rowOff>30480</xdr:rowOff>
                  </from>
                  <to>
                    <xdr:col>22</xdr:col>
                    <xdr:colOff>182880</xdr:colOff>
                    <xdr:row>20</xdr:row>
                    <xdr:rowOff>152400</xdr:rowOff>
                  </to>
                </anchor>
              </controlPr>
            </control>
          </mc:Choice>
        </mc:AlternateContent>
        <mc:AlternateContent xmlns:mc="http://schemas.openxmlformats.org/markup-compatibility/2006">
          <mc:Choice Requires="x14">
            <control shapeId="2295" r:id="rId46" name="Check Box 247">
              <controlPr defaultSize="0" autoFill="0" autoLine="0" autoPict="0">
                <anchor moveWithCells="1">
                  <from>
                    <xdr:col>21</xdr:col>
                    <xdr:colOff>304800</xdr:colOff>
                    <xdr:row>21</xdr:row>
                    <xdr:rowOff>30480</xdr:rowOff>
                  </from>
                  <to>
                    <xdr:col>22</xdr:col>
                    <xdr:colOff>182880</xdr:colOff>
                    <xdr:row>21</xdr:row>
                    <xdr:rowOff>152400</xdr:rowOff>
                  </to>
                </anchor>
              </controlPr>
            </control>
          </mc:Choice>
        </mc:AlternateContent>
        <mc:AlternateContent xmlns:mc="http://schemas.openxmlformats.org/markup-compatibility/2006">
          <mc:Choice Requires="x14">
            <control shapeId="2299" r:id="rId47" name="Check Box 251">
              <controlPr defaultSize="0" autoFill="0" autoLine="0" autoPict="0">
                <anchor moveWithCells="1">
                  <from>
                    <xdr:col>21</xdr:col>
                    <xdr:colOff>304800</xdr:colOff>
                    <xdr:row>22</xdr:row>
                    <xdr:rowOff>30480</xdr:rowOff>
                  </from>
                  <to>
                    <xdr:col>22</xdr:col>
                    <xdr:colOff>182880</xdr:colOff>
                    <xdr:row>22</xdr:row>
                    <xdr:rowOff>182880</xdr:rowOff>
                  </to>
                </anchor>
              </controlPr>
            </control>
          </mc:Choice>
        </mc:AlternateContent>
        <mc:AlternateContent xmlns:mc="http://schemas.openxmlformats.org/markup-compatibility/2006">
          <mc:Choice Requires="x14">
            <control shapeId="2300" r:id="rId48" name="Check Box 252">
              <controlPr defaultSize="0" autoFill="0" autoLine="0" autoPict="0">
                <anchor moveWithCells="1">
                  <from>
                    <xdr:col>21</xdr:col>
                    <xdr:colOff>304800</xdr:colOff>
                    <xdr:row>23</xdr:row>
                    <xdr:rowOff>22860</xdr:rowOff>
                  </from>
                  <to>
                    <xdr:col>22</xdr:col>
                    <xdr:colOff>182880</xdr:colOff>
                    <xdr:row>23</xdr:row>
                    <xdr:rowOff>152400</xdr:rowOff>
                  </to>
                </anchor>
              </controlPr>
            </control>
          </mc:Choice>
        </mc:AlternateContent>
        <mc:AlternateContent xmlns:mc="http://schemas.openxmlformats.org/markup-compatibility/2006">
          <mc:Choice Requires="x14">
            <control shapeId="2301" r:id="rId49" name="Check Box 253">
              <controlPr defaultSize="0" autoFill="0" autoLine="0" autoPict="0">
                <anchor moveWithCells="1">
                  <from>
                    <xdr:col>21</xdr:col>
                    <xdr:colOff>304800</xdr:colOff>
                    <xdr:row>24</xdr:row>
                    <xdr:rowOff>22860</xdr:rowOff>
                  </from>
                  <to>
                    <xdr:col>22</xdr:col>
                    <xdr:colOff>182880</xdr:colOff>
                    <xdr:row>24</xdr:row>
                    <xdr:rowOff>152400</xdr:rowOff>
                  </to>
                </anchor>
              </controlPr>
            </control>
          </mc:Choice>
        </mc:AlternateContent>
        <mc:AlternateContent xmlns:mc="http://schemas.openxmlformats.org/markup-compatibility/2006">
          <mc:Choice Requires="x14">
            <control shapeId="2302" r:id="rId50" name="Check Box 254">
              <controlPr defaultSize="0" autoFill="0" autoLine="0" autoPict="0">
                <anchor moveWithCells="1">
                  <from>
                    <xdr:col>21</xdr:col>
                    <xdr:colOff>304800</xdr:colOff>
                    <xdr:row>25</xdr:row>
                    <xdr:rowOff>22860</xdr:rowOff>
                  </from>
                  <to>
                    <xdr:col>22</xdr:col>
                    <xdr:colOff>182880</xdr:colOff>
                    <xdr:row>25</xdr:row>
                    <xdr:rowOff>152400</xdr:rowOff>
                  </to>
                </anchor>
              </controlPr>
            </control>
          </mc:Choice>
        </mc:AlternateContent>
        <mc:AlternateContent xmlns:mc="http://schemas.openxmlformats.org/markup-compatibility/2006">
          <mc:Choice Requires="x14">
            <control shapeId="2322" r:id="rId51" name="Check Box 274">
              <controlPr defaultSize="0" autoFill="0" autoLine="0" autoPict="0">
                <anchor moveWithCells="1">
                  <from>
                    <xdr:col>11</xdr:col>
                    <xdr:colOff>297180</xdr:colOff>
                    <xdr:row>25</xdr:row>
                    <xdr:rowOff>30480</xdr:rowOff>
                  </from>
                  <to>
                    <xdr:col>12</xdr:col>
                    <xdr:colOff>182880</xdr:colOff>
                    <xdr:row>25</xdr:row>
                    <xdr:rowOff>182880</xdr:rowOff>
                  </to>
                </anchor>
              </controlPr>
            </control>
          </mc:Choice>
        </mc:AlternateContent>
        <mc:AlternateContent xmlns:mc="http://schemas.openxmlformats.org/markup-compatibility/2006">
          <mc:Choice Requires="x14">
            <control shapeId="2323" r:id="rId52" name="Check Box 275">
              <controlPr defaultSize="0" autoFill="0" autoLine="0" autoPict="0">
                <anchor moveWithCells="1">
                  <from>
                    <xdr:col>11</xdr:col>
                    <xdr:colOff>297180</xdr:colOff>
                    <xdr:row>26</xdr:row>
                    <xdr:rowOff>30480</xdr:rowOff>
                  </from>
                  <to>
                    <xdr:col>12</xdr:col>
                    <xdr:colOff>182880</xdr:colOff>
                    <xdr:row>26</xdr:row>
                    <xdr:rowOff>182880</xdr:rowOff>
                  </to>
                </anchor>
              </controlPr>
            </control>
          </mc:Choice>
        </mc:AlternateContent>
        <mc:AlternateContent xmlns:mc="http://schemas.openxmlformats.org/markup-compatibility/2006">
          <mc:Choice Requires="x14">
            <control shapeId="2324" r:id="rId53" name="Check Box 276">
              <controlPr defaultSize="0" autoFill="0" autoLine="0" autoPict="0">
                <anchor moveWithCells="1">
                  <from>
                    <xdr:col>11</xdr:col>
                    <xdr:colOff>297180</xdr:colOff>
                    <xdr:row>27</xdr:row>
                    <xdr:rowOff>22860</xdr:rowOff>
                  </from>
                  <to>
                    <xdr:col>12</xdr:col>
                    <xdr:colOff>182880</xdr:colOff>
                    <xdr:row>27</xdr:row>
                    <xdr:rowOff>152400</xdr:rowOff>
                  </to>
                </anchor>
              </controlPr>
            </control>
          </mc:Choice>
        </mc:AlternateContent>
        <mc:AlternateContent xmlns:mc="http://schemas.openxmlformats.org/markup-compatibility/2006">
          <mc:Choice Requires="x14">
            <control shapeId="2325" r:id="rId54" name="Check Box 277">
              <controlPr defaultSize="0" autoFill="0" autoLine="0" autoPict="0">
                <anchor moveWithCells="1">
                  <from>
                    <xdr:col>11</xdr:col>
                    <xdr:colOff>297180</xdr:colOff>
                    <xdr:row>28</xdr:row>
                    <xdr:rowOff>22860</xdr:rowOff>
                  </from>
                  <to>
                    <xdr:col>12</xdr:col>
                    <xdr:colOff>182880</xdr:colOff>
                    <xdr:row>28</xdr:row>
                    <xdr:rowOff>152400</xdr:rowOff>
                  </to>
                </anchor>
              </controlPr>
            </control>
          </mc:Choice>
        </mc:AlternateContent>
        <mc:AlternateContent xmlns:mc="http://schemas.openxmlformats.org/markup-compatibility/2006">
          <mc:Choice Requires="x14">
            <control shapeId="22982" r:id="rId55" name="Button 4550">
              <controlPr defaultSize="0" print="0" autoFill="0" autoPict="0" macro="[0]!ZurStuekliste">
                <anchor moveWithCells="1" sizeWithCells="1">
                  <from>
                    <xdr:col>2</xdr:col>
                    <xdr:colOff>0</xdr:colOff>
                    <xdr:row>29</xdr:row>
                    <xdr:rowOff>114300</xdr:rowOff>
                  </from>
                  <to>
                    <xdr:col>5</xdr:col>
                    <xdr:colOff>304800</xdr:colOff>
                    <xdr:row>31</xdr:row>
                    <xdr:rowOff>144780</xdr:rowOff>
                  </to>
                </anchor>
              </controlPr>
            </control>
          </mc:Choice>
        </mc:AlternateContent>
        <mc:AlternateContent xmlns:mc="http://schemas.openxmlformats.org/markup-compatibility/2006">
          <mc:Choice Requires="x14">
            <control shapeId="22983" r:id="rId56" name="Button 4551">
              <controlPr defaultSize="0" print="0" autoFill="0" autoPict="0" macro="[0]!Drucken1">
                <anchor moveWithCells="1" sizeWithCells="1">
                  <from>
                    <xdr:col>11</xdr:col>
                    <xdr:colOff>304800</xdr:colOff>
                    <xdr:row>29</xdr:row>
                    <xdr:rowOff>114300</xdr:rowOff>
                  </from>
                  <to>
                    <xdr:col>16</xdr:col>
                    <xdr:colOff>144780</xdr:colOff>
                    <xdr:row>31</xdr:row>
                    <xdr:rowOff>144780</xdr:rowOff>
                  </to>
                </anchor>
              </controlPr>
            </control>
          </mc:Choice>
        </mc:AlternateContent>
        <mc:AlternateContent xmlns:mc="http://schemas.openxmlformats.org/markup-compatibility/2006">
          <mc:Choice Requires="x14">
            <control shapeId="33624" r:id="rId57" name="Button 7000">
              <controlPr defaultSize="0" print="0" autoFill="0" autoPict="0" macro="[0]!SeiteHinzufuegen_Click">
                <anchor moveWithCells="1" sizeWithCells="1">
                  <from>
                    <xdr:col>17</xdr:col>
                    <xdr:colOff>251460</xdr:colOff>
                    <xdr:row>29</xdr:row>
                    <xdr:rowOff>114300</xdr:rowOff>
                  </from>
                  <to>
                    <xdr:col>21</xdr:col>
                    <xdr:colOff>0</xdr:colOff>
                    <xdr:row>31</xdr:row>
                    <xdr:rowOff>144780</xdr:rowOff>
                  </to>
                </anchor>
              </controlPr>
            </control>
          </mc:Choice>
        </mc:AlternateContent>
        <mc:AlternateContent xmlns:mc="http://schemas.openxmlformats.org/markup-compatibility/2006">
          <mc:Choice Requires="x14">
            <control shapeId="39747" r:id="rId58" name="Button 8003">
              <controlPr defaultSize="0" print="0" autoFill="0" autoPict="0" macro="[0]!StatikKomplett">
                <anchor moveWithCells="1" sizeWithCells="1">
                  <from>
                    <xdr:col>6</xdr:col>
                    <xdr:colOff>76200</xdr:colOff>
                    <xdr:row>29</xdr:row>
                    <xdr:rowOff>114300</xdr:rowOff>
                  </from>
                  <to>
                    <xdr:col>10</xdr:col>
                    <xdr:colOff>0</xdr:colOff>
                    <xdr:row>31</xdr:row>
                    <xdr:rowOff>144780</xdr:rowOff>
                  </to>
                </anchor>
              </controlPr>
            </control>
          </mc:Choice>
        </mc:AlternateContent>
        <mc:AlternateContent xmlns:mc="http://schemas.openxmlformats.org/markup-compatibility/2006">
          <mc:Choice Requires="x14">
            <control shapeId="144194" r:id="rId59" name="Check Box 15170">
              <controlPr defaultSize="0" autoFill="0" autoLine="0" autoPict="0">
                <anchor moveWithCells="1">
                  <from>
                    <xdr:col>21</xdr:col>
                    <xdr:colOff>304800</xdr:colOff>
                    <xdr:row>26</xdr:row>
                    <xdr:rowOff>22860</xdr:rowOff>
                  </from>
                  <to>
                    <xdr:col>22</xdr:col>
                    <xdr:colOff>182880</xdr:colOff>
                    <xdr:row>26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EA77D6B0-F4DC-451C-A723-07FA2890C9FE}">
            <xm:f>Haftungsausschluß!$L$22&lt;&gt;2</xm:f>
            <x14:dxf>
              <font>
                <color theme="0"/>
              </font>
              <fill>
                <patternFill>
                  <bgColor theme="0"/>
                </patternFill>
              </fill>
            </x14:dxf>
          </x14:cfRule>
          <xm:sqref>AD28:AE28</xm:sqref>
        </x14:conditionalFormatting>
        <x14:conditionalFormatting xmlns:xm="http://schemas.microsoft.com/office/excel/2006/main">
          <x14:cfRule type="expression" priority="5" id="{0A91F93C-72BE-4A35-8388-DD66B020686D}">
            <xm:f>Haftungsausschluß!$L$22&lt;&gt;2</xm:f>
            <x14:dxf>
              <font>
                <color theme="0"/>
              </font>
              <fill>
                <patternFill>
                  <bgColor theme="0"/>
                </patternFill>
              </fill>
            </x14:dxf>
          </x14:cfRule>
          <xm:sqref>AD29:AE29</xm:sqref>
        </x14:conditionalFormatting>
        <x14:conditionalFormatting xmlns:xm="http://schemas.microsoft.com/office/excel/2006/main">
          <x14:cfRule type="expression" priority="4" id="{44108EDD-2FF9-4592-BF0B-5AA401A1C591}">
            <xm:f>Haftungsausschluß!$L$22&lt;&gt;2</xm:f>
            <x14:dxf>
              <font>
                <color theme="0"/>
              </font>
              <fill>
                <patternFill>
                  <bgColor theme="0"/>
                </patternFill>
              </fill>
            </x14:dxf>
          </x14:cfRule>
          <xm:sqref>AD30:AE30</xm:sqref>
        </x14:conditionalFormatting>
        <x14:conditionalFormatting xmlns:xm="http://schemas.microsoft.com/office/excel/2006/main">
          <x14:cfRule type="expression" priority="3" id="{D1F3A8DD-4EF3-4DBD-917D-E3DF35E52525}">
            <xm:f>Haftungsausschluß!$L$22&lt;&gt;2</xm:f>
            <x14:dxf>
              <font>
                <color theme="0"/>
              </font>
              <border>
                <left/>
                <right/>
                <top/>
                <bottom/>
              </border>
            </x14:dxf>
          </x14:cfRule>
          <xm:sqref>W28:AE30</xm:sqref>
        </x14:conditionalFormatting>
        <x14:conditionalFormatting xmlns:xm="http://schemas.microsoft.com/office/excel/2006/main">
          <x14:cfRule type="expression" priority="2" id="{0BB56DAF-DDB4-4869-910E-C8D392701C99}">
            <xm:f>Haftungsausschluß!$L$22&lt;&gt;2</xm:f>
            <x14:dxf>
              <border>
                <bottom style="thin">
                  <color auto="1"/>
                </bottom>
                <vertical/>
                <horizontal/>
              </border>
            </x14:dxf>
          </x14:cfRule>
          <xm:sqref>W27:AE27</xm:sqref>
        </x14:conditionalFormatting>
        <x14:conditionalFormatting xmlns:xm="http://schemas.microsoft.com/office/excel/2006/main">
          <x14:cfRule type="cellIs" priority="17" operator="lessThan" id="{1DA942FE-C2FE-4A50-B28F-601171A16BC5}">
            <xm:f>Haftungsausschluß!$F$33</xm:f>
            <x14:dxf>
              <font>
                <color rgb="FFFF0000"/>
              </font>
              <fill>
                <patternFill>
                  <bgColor rgb="FFFFCCCC"/>
                </patternFill>
              </fill>
            </x14:dxf>
          </x14:cfRule>
          <xm:sqref>Q42:Q243</xm:sqref>
        </x14:conditionalFormatting>
        <x14:conditionalFormatting xmlns:xm="http://schemas.microsoft.com/office/excel/2006/main">
          <x14:cfRule type="cellIs" priority="15" operator="lessThan" id="{72C94691-8A7D-4B1A-BB35-C7BE4A0D7C46}">
            <xm:f>Haftungsausschluß!$F$34</xm:f>
            <x14:dxf>
              <font>
                <color rgb="FFFF0000"/>
              </font>
              <fill>
                <patternFill>
                  <bgColor rgb="FFFFCCCC"/>
                </patternFill>
              </fill>
            </x14:dxf>
          </x14:cfRule>
          <xm:sqref>AA42:AA243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pageSetUpPr fitToPage="1"/>
  </sheetPr>
  <dimension ref="A1:AJ558"/>
  <sheetViews>
    <sheetView showGridLines="0" zoomScaleNormal="100" zoomScaleSheetLayoutView="100" workbookViewId="0">
      <selection activeCell="P12" sqref="P12"/>
    </sheetView>
  </sheetViews>
  <sheetFormatPr baseColWidth="10" defaultColWidth="0" defaultRowHeight="13.8"/>
  <cols>
    <col min="1" max="1" width="8.6640625" style="288" customWidth="1"/>
    <col min="2" max="3" width="9.6640625" style="283" customWidth="1"/>
    <col min="4" max="4" width="10.6640625" style="283" customWidth="1"/>
    <col min="5" max="5" width="11.5546875" style="283" customWidth="1"/>
    <col min="6" max="6" width="13.6640625" style="283" customWidth="1"/>
    <col min="7" max="12" width="12.6640625" style="283" customWidth="1"/>
    <col min="13" max="13" width="12.6640625" style="284" customWidth="1"/>
    <col min="14" max="14" width="16.6640625" style="283" customWidth="1"/>
    <col min="15" max="15" width="14.6640625" style="283" customWidth="1"/>
    <col min="16" max="16" width="15.6640625" style="677" customWidth="1"/>
    <col min="17" max="18" width="8.6640625" style="314" hidden="1" customWidth="1"/>
    <col min="19" max="19" width="8.6640625" style="348" hidden="1" customWidth="1"/>
    <col min="20" max="22" width="8.6640625" style="288" hidden="1" customWidth="1"/>
    <col min="23" max="23" width="6.5546875" style="288" hidden="1" customWidth="1"/>
    <col min="24" max="24" width="22.44140625" style="288" hidden="1" customWidth="1"/>
    <col min="25" max="25" width="14.5546875" style="288" hidden="1" customWidth="1"/>
    <col min="26" max="26" width="52.44140625" style="288" hidden="1" customWidth="1"/>
    <col min="27" max="27" width="8.6640625" style="288" hidden="1" customWidth="1"/>
    <col min="28" max="28" width="6.5546875" style="288" hidden="1" customWidth="1"/>
    <col min="29" max="29" width="22.44140625" style="288" hidden="1" customWidth="1"/>
    <col min="30" max="30" width="14.5546875" style="288" hidden="1" customWidth="1"/>
    <col min="31" max="31" width="52.44140625" style="288" hidden="1" customWidth="1"/>
    <col min="32" max="32" width="8.6640625" style="288" hidden="1" customWidth="1"/>
    <col min="33" max="33" width="6.5546875" style="288" hidden="1" customWidth="1"/>
    <col min="34" max="34" width="22.44140625" style="288" hidden="1" customWidth="1"/>
    <col min="35" max="35" width="14.5546875" style="288" hidden="1" customWidth="1"/>
    <col min="36" max="36" width="0" style="288" hidden="1" customWidth="1"/>
    <col min="37" max="16384" width="8.6640625" style="288" hidden="1"/>
  </cols>
  <sheetData>
    <row r="1" spans="1:35" s="533" customFormat="1" ht="5.0999999999999996" customHeight="1">
      <c r="A1" s="288"/>
      <c r="B1" s="283"/>
      <c r="C1" s="283"/>
      <c r="D1" s="283"/>
      <c r="E1" s="283"/>
      <c r="F1" s="283"/>
      <c r="G1" s="283"/>
      <c r="H1" s="283"/>
      <c r="I1" s="283"/>
      <c r="J1" s="283"/>
      <c r="K1" s="283"/>
      <c r="L1" s="283"/>
      <c r="M1" s="284"/>
      <c r="N1" s="285"/>
      <c r="O1" s="286"/>
      <c r="P1" s="677"/>
      <c r="Q1" s="530"/>
      <c r="R1" s="530"/>
      <c r="S1" s="531"/>
      <c r="T1" s="532"/>
      <c r="U1" s="532"/>
      <c r="V1" s="532"/>
      <c r="W1" s="532"/>
      <c r="X1" s="532"/>
      <c r="Y1" s="532"/>
      <c r="Z1" s="532"/>
      <c r="AA1" s="532"/>
      <c r="AB1" s="532"/>
      <c r="AC1" s="532"/>
      <c r="AD1" s="532"/>
      <c r="AE1" s="532"/>
      <c r="AG1" s="532"/>
      <c r="AH1" s="532"/>
      <c r="AI1" s="532"/>
    </row>
    <row r="2" spans="1:35" s="533" customFormat="1" ht="5.0999999999999996" customHeight="1">
      <c r="A2" s="288"/>
      <c r="B2" s="283"/>
      <c r="C2" s="283"/>
      <c r="D2" s="283"/>
      <c r="E2" s="289"/>
      <c r="F2" s="283"/>
      <c r="G2" s="283"/>
      <c r="H2" s="283"/>
      <c r="I2" s="283"/>
      <c r="J2" s="283"/>
      <c r="K2" s="283"/>
      <c r="L2" s="283"/>
      <c r="M2" s="284"/>
      <c r="N2" s="285"/>
      <c r="O2" s="286"/>
      <c r="P2" s="677"/>
      <c r="Q2" s="530"/>
      <c r="R2" s="530"/>
      <c r="S2" s="531"/>
      <c r="T2" s="532"/>
      <c r="U2" s="532"/>
      <c r="V2" s="532"/>
      <c r="W2" s="532"/>
      <c r="X2" s="532"/>
      <c r="Y2" s="532"/>
      <c r="Z2" s="532"/>
      <c r="AA2" s="532"/>
      <c r="AB2" s="532"/>
      <c r="AC2" s="532"/>
      <c r="AD2" s="532"/>
      <c r="AE2" s="532"/>
      <c r="AG2" s="532"/>
      <c r="AH2" s="532"/>
      <c r="AI2" s="532"/>
    </row>
    <row r="3" spans="1:35" s="533" customFormat="1" ht="17.399999999999999">
      <c r="A3" s="288"/>
      <c r="B3" s="283"/>
      <c r="C3" s="283"/>
      <c r="D3" s="283"/>
      <c r="E3" s="283"/>
      <c r="F3" s="283"/>
      <c r="G3" s="290"/>
      <c r="H3" s="290" t="s">
        <v>4362</v>
      </c>
      <c r="I3" s="290"/>
      <c r="J3" s="290"/>
      <c r="K3" s="291"/>
      <c r="L3" s="291"/>
      <c r="M3" s="291"/>
      <c r="N3" s="291"/>
      <c r="O3" s="292"/>
      <c r="P3" s="677"/>
      <c r="Q3" s="530">
        <v>1</v>
      </c>
      <c r="R3" s="530"/>
      <c r="S3" s="531"/>
      <c r="T3" s="534"/>
      <c r="U3" s="534"/>
      <c r="V3" s="534"/>
      <c r="W3" s="534"/>
      <c r="X3" s="534"/>
      <c r="Y3" s="534"/>
      <c r="Z3" s="534"/>
      <c r="AA3" s="534"/>
      <c r="AB3" s="534"/>
      <c r="AC3" s="534"/>
      <c r="AD3" s="534"/>
      <c r="AE3" s="534"/>
      <c r="AG3" s="534"/>
      <c r="AH3" s="534"/>
      <c r="AI3" s="534"/>
    </row>
    <row r="4" spans="1:35" s="533" customFormat="1" ht="16.8">
      <c r="A4" s="288"/>
      <c r="B4" s="283"/>
      <c r="C4" s="283"/>
      <c r="D4" s="283"/>
      <c r="E4" s="283"/>
      <c r="F4" s="283"/>
      <c r="G4" s="293" t="str">
        <f>VLOOKUP("Service:",Sprachindex!A:Z,Haftungsausschluß!$O$6,FALSE)</f>
        <v>Service:</v>
      </c>
      <c r="H4" s="294" t="str">
        <f>IF('Kalkulation 1'!AO17=1,VLOOKUP("Mengenermittlung/Anfrage",Sprachindex!A:Z,Haftungsausschluß!$O$6,FALSE),VLOOKUP("Bestellung",Sprachindex!A:Z,Haftungsausschluß!$O$6,FALSE))</f>
        <v>Bestellung</v>
      </c>
      <c r="I4" s="290"/>
      <c r="J4" s="290"/>
      <c r="K4" s="283"/>
      <c r="L4" s="283"/>
      <c r="M4" s="291" t="str">
        <f>VLOOKUP("Datum:",Sprachindex!A:Z,Haftungsausschluß!$O$6,FALSE)</f>
        <v>Datum:</v>
      </c>
      <c r="N4" s="975">
        <f ca="1">TODAY()</f>
        <v>44775</v>
      </c>
      <c r="O4" s="976"/>
      <c r="P4" s="675" t="str">
        <f>VLOOKUP("Preis",Sprachindex!A:Z,Haftungsausschluß!$O$6,FALSE)</f>
        <v>Preis</v>
      </c>
      <c r="Q4" s="704">
        <v>1</v>
      </c>
      <c r="R4" s="530" t="s">
        <v>1130</v>
      </c>
      <c r="S4" s="531"/>
      <c r="T4" s="620"/>
      <c r="U4" s="534"/>
      <c r="V4" s="534"/>
      <c r="W4" s="534"/>
      <c r="X4" s="534"/>
      <c r="Y4" s="534"/>
      <c r="Z4" s="534"/>
      <c r="AA4" s="534"/>
      <c r="AB4" s="534"/>
      <c r="AC4" s="534"/>
      <c r="AD4" s="534"/>
      <c r="AE4" s="534"/>
      <c r="AG4" s="534"/>
      <c r="AH4" s="534"/>
      <c r="AI4" s="534"/>
    </row>
    <row r="5" spans="1:35" s="535" customFormat="1" ht="16.8">
      <c r="A5" s="296"/>
      <c r="C5" s="283"/>
      <c r="D5" s="561" t="str">
        <f>VLOOKUP("Firma / Besteller:",Sprachindex!A:Z,Haftungsausschluß!$O$6,FALSE)</f>
        <v>Firma / Besteller:</v>
      </c>
      <c r="E5" s="283"/>
      <c r="F5" s="283"/>
      <c r="G5" s="290"/>
      <c r="H5" s="290" t="str">
        <f>VLOOKUP("Kalkulation",Sprachindex!A:Z,Haftungsausschluß!$O$6,FALSE) &amp; " " &amp;Q3</f>
        <v>KALKULATION 1</v>
      </c>
      <c r="I5" s="290"/>
      <c r="J5" s="290"/>
      <c r="K5" s="296"/>
      <c r="L5" s="296"/>
      <c r="M5" s="290"/>
      <c r="N5" s="290"/>
      <c r="O5" s="297"/>
      <c r="P5" s="678" t="str">
        <f>VLOOKUP("exkl. MwSt.",Sprachindex!A:Z,Haftungsausschluß!$O$6,FALSE)</f>
        <v>exkl. MwSt.</v>
      </c>
      <c r="Q5" s="704">
        <v>2</v>
      </c>
      <c r="R5" s="530" t="s">
        <v>333</v>
      </c>
      <c r="T5" s="532"/>
      <c r="W5" s="704">
        <f>'Kalkulation 1'!AV17</f>
        <v>1</v>
      </c>
      <c r="X5" s="532"/>
      <c r="Y5" s="532"/>
      <c r="Z5" s="532"/>
      <c r="AA5" s="532"/>
      <c r="AC5" s="532"/>
      <c r="AD5" s="532"/>
      <c r="AE5" s="532"/>
      <c r="AH5" s="532"/>
      <c r="AI5" s="532"/>
    </row>
    <row r="6" spans="1:35" s="535" customFormat="1" ht="15" customHeight="1">
      <c r="A6" s="296"/>
      <c r="B6" s="283"/>
      <c r="C6" s="299" t="str">
        <f>VLOOKUP("Name:",Sprachindex!A:Z,Haftungsausschluß!$O$6,FALSE)</f>
        <v>Name:</v>
      </c>
      <c r="D6" s="977" t="str">
        <f>'Kalkulation 1'!E5</f>
        <v/>
      </c>
      <c r="E6" s="978"/>
      <c r="F6" s="979"/>
      <c r="G6" s="293" t="str">
        <f>VLOOKUP("Farbe:",Sprachindex!A:Z,Haftungsausschluß!$O$6,FALSE)</f>
        <v>Farbe:</v>
      </c>
      <c r="H6" s="300" t="str">
        <f>IF('Kalkulation 1'!AP17=1,VLOOKUP("blank",Sprachindex!A:Z,Haftungsausschluß!$O$6,FALSE),VLOOKUP("beschichtet",Sprachindex!A:Z,Haftungsausschluß!$O$6,FALSE) &amp; ": " &amp; H3)</f>
        <v>blank</v>
      </c>
      <c r="I6" s="301"/>
      <c r="J6" s="302"/>
      <c r="K6" s="296"/>
      <c r="L6" s="296"/>
      <c r="M6" s="290"/>
      <c r="N6" s="290"/>
      <c r="O6" s="297"/>
      <c r="P6" s="678" t="str">
        <f>VLOOKUP("inkl. MwSt.",Sprachindex!A:Z,Haftungsausschluß!$O$6,FALSE)</f>
        <v>inkl. MwSt.</v>
      </c>
      <c r="Q6" s="717">
        <f>AI205</f>
        <v>0</v>
      </c>
      <c r="R6" s="530" t="s">
        <v>3958</v>
      </c>
      <c r="T6" s="532"/>
      <c r="W6" s="717">
        <f>AO205</f>
        <v>0</v>
      </c>
      <c r="X6" s="537"/>
      <c r="Y6" s="537"/>
      <c r="Z6" s="537"/>
      <c r="AA6" s="537"/>
      <c r="AC6" s="537"/>
      <c r="AD6" s="537"/>
      <c r="AE6" s="537"/>
      <c r="AH6" s="537"/>
      <c r="AI6" s="537"/>
    </row>
    <row r="7" spans="1:35" s="535" customFormat="1" ht="15" customHeight="1">
      <c r="A7" s="296"/>
      <c r="B7" s="283"/>
      <c r="C7" s="299" t="str">
        <f>VLOOKUP("Straße:",Sprachindex!A:Z,Haftungsausschluß!$O$6,FALSE)</f>
        <v>Straße:</v>
      </c>
      <c r="D7" s="977" t="str">
        <f>'Kalkulation 1'!E6</f>
        <v/>
      </c>
      <c r="E7" s="978"/>
      <c r="F7" s="979"/>
      <c r="G7" s="298"/>
      <c r="H7" s="980" t="s">
        <v>4363</v>
      </c>
      <c r="I7" s="980"/>
      <c r="J7" s="980"/>
      <c r="K7" s="296"/>
      <c r="L7" s="296"/>
      <c r="M7" s="299" t="str">
        <f>VLOOKUP("Telefon:",Sprachindex!A:Z,Haftungsausschluß!$O$6,FALSE)</f>
        <v>Telefon:</v>
      </c>
      <c r="N7" s="977" t="str">
        <f>'Kalkulation 1'!E8</f>
        <v/>
      </c>
      <c r="O7" s="978"/>
      <c r="P7" s="677"/>
      <c r="Q7" s="715">
        <f>SUM(O16:O267)</f>
        <v>0</v>
      </c>
      <c r="R7" s="530" t="s">
        <v>3959</v>
      </c>
      <c r="S7" s="531"/>
      <c r="T7" s="537"/>
      <c r="U7" s="537"/>
      <c r="V7" s="537"/>
      <c r="W7" s="715">
        <f>SUM(U16:U267)</f>
        <v>0</v>
      </c>
      <c r="X7" s="537"/>
      <c r="Y7" s="537"/>
      <c r="Z7" s="537"/>
      <c r="AA7" s="537"/>
      <c r="AB7" s="537"/>
      <c r="AC7" s="537"/>
      <c r="AD7" s="537"/>
      <c r="AE7" s="537"/>
      <c r="AG7" s="537"/>
      <c r="AH7" s="537"/>
      <c r="AI7" s="537"/>
    </row>
    <row r="8" spans="1:35" s="535" customFormat="1" ht="15" customHeight="1">
      <c r="A8" s="296"/>
      <c r="B8" s="283"/>
      <c r="C8" s="299" t="str">
        <f>VLOOKUP("Ort:",Sprachindex!A:Z,Haftungsausschluß!$O$6,FALSE)</f>
        <v>Ort:</v>
      </c>
      <c r="D8" s="981" t="str">
        <f>'Kalkulation 1'!E7</f>
        <v/>
      </c>
      <c r="E8" s="978"/>
      <c r="F8" s="979"/>
      <c r="G8" s="298"/>
      <c r="H8" s="980"/>
      <c r="I8" s="980"/>
      <c r="J8" s="980"/>
      <c r="K8" s="296"/>
      <c r="L8" s="296"/>
      <c r="M8" s="299" t="str">
        <f>VLOOKUP("eMail:",Sprachindex!A:Z,Haftungsausschluß!$O$6,FALSE)</f>
        <v>eMail:</v>
      </c>
      <c r="N8" s="977" t="str">
        <f>'Kalkulation 1'!E9</f>
        <v/>
      </c>
      <c r="O8" s="978"/>
      <c r="P8" s="679"/>
      <c r="Q8" s="536"/>
      <c r="R8" s="530"/>
      <c r="S8" s="531"/>
      <c r="T8" s="537"/>
      <c r="U8" s="537"/>
      <c r="V8" s="537"/>
      <c r="W8" s="537"/>
      <c r="X8" s="537"/>
      <c r="Y8" s="537"/>
      <c r="Z8" s="537"/>
      <c r="AA8" s="537"/>
      <c r="AB8" s="537"/>
      <c r="AC8" s="537"/>
      <c r="AD8" s="537"/>
      <c r="AE8" s="537"/>
      <c r="AG8" s="537"/>
      <c r="AH8" s="537"/>
      <c r="AI8" s="537"/>
    </row>
    <row r="9" spans="1:35" s="535" customFormat="1" ht="15" customHeight="1">
      <c r="A9" s="296"/>
      <c r="B9" s="295"/>
      <c r="C9" s="299" t="str">
        <f>VLOOKUP("Kommission:",Sprachindex!A:Z,Haftungsausschluß!$O$6,FALSE)</f>
        <v>Kommission:</v>
      </c>
      <c r="D9" s="702" t="s">
        <v>4361</v>
      </c>
      <c r="E9" s="700"/>
      <c r="F9" s="701"/>
      <c r="G9" s="298"/>
      <c r="H9" s="980"/>
      <c r="I9" s="980"/>
      <c r="J9" s="980"/>
      <c r="K9" s="298"/>
      <c r="L9" s="298"/>
      <c r="M9" s="304"/>
      <c r="N9" s="298"/>
      <c r="O9" s="298"/>
      <c r="P9" s="677"/>
      <c r="Q9" s="530"/>
      <c r="R9" s="530"/>
      <c r="S9" s="531"/>
      <c r="T9" s="532"/>
      <c r="U9" s="532"/>
      <c r="V9" s="532"/>
      <c r="W9" s="532"/>
      <c r="X9" s="532"/>
      <c r="Y9" s="532"/>
      <c r="Z9" s="532"/>
      <c r="AA9" s="532"/>
      <c r="AB9" s="532"/>
      <c r="AC9" s="532"/>
      <c r="AD9" s="532"/>
      <c r="AE9" s="532"/>
      <c r="AG9" s="532"/>
      <c r="AH9" s="532"/>
      <c r="AI9" s="532"/>
    </row>
    <row r="10" spans="1:35" s="535" customFormat="1" ht="15" customHeight="1">
      <c r="A10" s="296"/>
      <c r="B10" s="283"/>
      <c r="C10" s="298"/>
      <c r="D10" s="298"/>
      <c r="E10" s="298"/>
      <c r="F10" s="298"/>
      <c r="G10" s="290"/>
      <c r="H10" s="980"/>
      <c r="I10" s="980"/>
      <c r="J10" s="980"/>
      <c r="K10" s="298"/>
      <c r="L10" s="296"/>
      <c r="M10" s="304"/>
      <c r="N10" s="298"/>
      <c r="O10" s="298"/>
      <c r="P10" s="675" t="str">
        <f>IF(Haftungsausschluß!L21=1,VLOOKUP("Rabatt",Sprachindex!A:Z,Haftungsausschluß!$O$6,FALSE),"")</f>
        <v>Rabatt</v>
      </c>
      <c r="Q10" s="538"/>
      <c r="R10" s="530"/>
      <c r="S10" s="531"/>
      <c r="T10" s="537"/>
      <c r="U10" s="537"/>
      <c r="V10" s="537"/>
      <c r="W10" s="537"/>
      <c r="X10" s="537"/>
      <c r="Y10" s="537"/>
      <c r="Z10" s="537"/>
      <c r="AA10" s="537"/>
      <c r="AB10" s="537"/>
      <c r="AC10" s="537"/>
      <c r="AD10" s="537"/>
      <c r="AE10" s="537"/>
      <c r="AG10" s="537"/>
      <c r="AH10" s="537"/>
      <c r="AI10" s="537"/>
    </row>
    <row r="11" spans="1:35" s="535" customFormat="1" ht="15" customHeight="1">
      <c r="A11" s="296"/>
      <c r="B11" s="283"/>
      <c r="C11" s="298"/>
      <c r="D11" s="298"/>
      <c r="E11" s="298"/>
      <c r="F11" s="298"/>
      <c r="G11" s="290"/>
      <c r="H11" s="298"/>
      <c r="I11" s="296"/>
      <c r="J11" s="298"/>
      <c r="K11" s="298"/>
      <c r="L11" s="298"/>
      <c r="M11" s="293" t="str">
        <f>VLOOKUP("Bearbeiter:",Sprachindex!A:Z,Haftungsausschluß!$O$6,FALSE)</f>
        <v>Bearbeiter:</v>
      </c>
      <c r="N11" s="283" t="str">
        <f>'Kalkulation 1'!R4</f>
        <v/>
      </c>
      <c r="O11" s="296"/>
      <c r="P11" s="676">
        <f>IF(O268&lt;1000,-10,-14)</f>
        <v>-10</v>
      </c>
      <c r="Q11" s="530"/>
      <c r="R11" s="530"/>
      <c r="S11" s="531"/>
      <c r="T11" s="537"/>
      <c r="U11" s="537"/>
      <c r="V11" s="537"/>
      <c r="W11" s="537"/>
      <c r="X11" s="537"/>
      <c r="Y11" s="537"/>
      <c r="Z11" s="537"/>
      <c r="AA11" s="537"/>
      <c r="AB11" s="537"/>
      <c r="AC11" s="537"/>
      <c r="AD11" s="537"/>
      <c r="AE11" s="537"/>
      <c r="AG11" s="537"/>
      <c r="AH11" s="537"/>
      <c r="AI11" s="537"/>
    </row>
    <row r="12" spans="1:35" s="535" customFormat="1" ht="15" customHeight="1">
      <c r="A12" s="296"/>
      <c r="B12" s="283"/>
      <c r="C12" s="298"/>
      <c r="D12" s="298"/>
      <c r="E12" s="298"/>
      <c r="F12" s="298"/>
      <c r="G12" s="290"/>
      <c r="H12" s="298"/>
      <c r="I12" s="298"/>
      <c r="J12" s="298"/>
      <c r="K12" s="298"/>
      <c r="L12" s="298"/>
      <c r="M12" s="298"/>
      <c r="N12" s="298"/>
      <c r="O12" s="296"/>
      <c r="P12" s="676"/>
      <c r="Q12" s="530"/>
      <c r="R12" s="530"/>
      <c r="S12" s="531"/>
      <c r="T12" s="537"/>
      <c r="U12" s="537"/>
      <c r="V12" s="537"/>
      <c r="W12" s="537"/>
      <c r="X12" s="537"/>
      <c r="Y12" s="537"/>
      <c r="Z12" s="537"/>
      <c r="AA12" s="537"/>
      <c r="AB12" s="537"/>
      <c r="AC12" s="537"/>
      <c r="AD12" s="537"/>
      <c r="AE12" s="537"/>
      <c r="AG12" s="537"/>
      <c r="AH12" s="537"/>
      <c r="AI12" s="537"/>
    </row>
    <row r="13" spans="1:35" s="535" customFormat="1" ht="15" customHeight="1">
      <c r="A13" s="296"/>
      <c r="B13" s="283"/>
      <c r="C13" s="298"/>
      <c r="D13" s="298"/>
      <c r="E13" s="298"/>
      <c r="F13" s="298"/>
      <c r="G13" s="290"/>
      <c r="H13" s="298"/>
      <c r="I13" s="298"/>
      <c r="J13" s="298"/>
      <c r="K13" s="305"/>
      <c r="L13" s="296"/>
      <c r="M13" s="306"/>
      <c r="N13" s="290"/>
      <c r="O13" s="298"/>
      <c r="P13" s="532"/>
      <c r="Q13" s="530"/>
      <c r="R13" s="530"/>
      <c r="S13" s="531"/>
      <c r="T13" s="532"/>
      <c r="U13" s="532"/>
      <c r="V13" s="532"/>
      <c r="AA13" s="532"/>
    </row>
    <row r="14" spans="1:35" s="533" customFormat="1" ht="15" customHeight="1" thickBot="1">
      <c r="A14" s="288"/>
      <c r="B14" s="307" t="str">
        <f>VLOOKUP("Filter:",Sprachindex!A:Z,Haftungsausschluß!$O$6,FALSE)</f>
        <v>Filter:</v>
      </c>
      <c r="C14" s="991"/>
      <c r="D14" s="991"/>
      <c r="E14" s="991"/>
      <c r="F14" s="991"/>
      <c r="G14" s="290"/>
      <c r="H14" s="290"/>
      <c r="I14" s="290"/>
      <c r="J14" s="290"/>
      <c r="K14" s="290"/>
      <c r="L14" s="563"/>
      <c r="M14" s="297"/>
      <c r="N14" s="290"/>
      <c r="O14" s="292"/>
      <c r="P14" s="677"/>
      <c r="Q14" s="992" t="s">
        <v>3003</v>
      </c>
      <c r="R14" s="993"/>
      <c r="S14" s="974"/>
      <c r="T14" s="974"/>
      <c r="U14" s="974"/>
      <c r="V14" s="974"/>
      <c r="W14" s="539"/>
      <c r="X14" s="539"/>
      <c r="Y14" s="539"/>
      <c r="Z14" s="322"/>
      <c r="AA14" s="974"/>
      <c r="AB14" s="974"/>
      <c r="AC14" s="539"/>
      <c r="AD14" s="539"/>
      <c r="AE14" s="974"/>
      <c r="AF14" s="974"/>
      <c r="AG14" s="539"/>
      <c r="AH14" s="539"/>
      <c r="AI14" s="539"/>
    </row>
    <row r="15" spans="1:35" s="533" customFormat="1" ht="45" customHeight="1" thickBot="1">
      <c r="A15" s="288"/>
      <c r="B15" s="308" t="str">
        <f>VLOOKUP("Stück",Sprachindex!A:Z,Haftungsausschluß!$O$6,FALSE)</f>
        <v>Stück</v>
      </c>
      <c r="C15" s="309" t="str">
        <f>VLOOKUP("Länge",Sprachindex!A:Z,Haftungsausschluß!$O$6,FALSE)</f>
        <v>Länge</v>
      </c>
      <c r="D15" s="309" t="str">
        <f>VLOOKUP("Gesamt Länge",Sprachindex!A:Z,Haftungsausschluß!$O$6,FALSE)</f>
        <v>Gesamt Länge</v>
      </c>
      <c r="E15" s="309" t="str">
        <f>VLOOKUP("Einheit",Sprachindex!A:Z,Haftungsausschluß!$O$6,FALSE)</f>
        <v>Einheit</v>
      </c>
      <c r="F15" s="309" t="str">
        <f>VLOOKUP("Artikel Nr.",Sprachindex!A:Z,Haftungsausschluß!$O$6,FALSE)</f>
        <v>Artikel Nr.</v>
      </c>
      <c r="G15" s="982" t="str">
        <f>VLOOKUP("Bezeichnung",Sprachindex!A:Z,Haftungsausschluß!$O$6,FALSE)</f>
        <v>Bezeichnung</v>
      </c>
      <c r="H15" s="983"/>
      <c r="I15" s="983"/>
      <c r="J15" s="983"/>
      <c r="K15" s="983"/>
      <c r="L15" s="983"/>
      <c r="M15" s="984"/>
      <c r="N15" s="551" t="str">
        <f>VLOOKUP("Preis pro lfm od. Stk",Sprachindex!A:Z,Haftungsausschluß!$O$6,FALSE)</f>
        <v>Preis pro lfm od. Stk</v>
      </c>
      <c r="O15" s="549" t="str">
        <f>VLOOKUP("Preis exkl.MwSt",Sprachindex!A:Z,Haftungsausschluß!$O$6,FALSE)</f>
        <v>Preis exkl.MwSt</v>
      </c>
      <c r="P15" s="324"/>
      <c r="Q15" s="540" t="s">
        <v>1589</v>
      </c>
      <c r="R15" s="541" t="s">
        <v>959</v>
      </c>
      <c r="S15" s="321"/>
      <c r="T15" s="321"/>
      <c r="U15" s="321"/>
      <c r="V15" s="321"/>
      <c r="W15" s="542"/>
      <c r="X15" s="542"/>
      <c r="Y15" s="542"/>
      <c r="Z15" s="542"/>
      <c r="AA15" s="321"/>
      <c r="AB15" s="321"/>
      <c r="AC15" s="321"/>
      <c r="AD15" s="321"/>
      <c r="AE15" s="321"/>
      <c r="AF15" s="321"/>
      <c r="AG15" s="321"/>
      <c r="AH15" s="321"/>
      <c r="AI15" s="321"/>
    </row>
    <row r="16" spans="1:35" ht="32.1" customHeight="1">
      <c r="B16" s="520"/>
      <c r="C16" s="521"/>
      <c r="D16" s="522">
        <f>B16*C16/1000</f>
        <v>0</v>
      </c>
      <c r="E16" s="417" t="str">
        <f>VLOOKUP("[m]",Sprachindex!$A:$Z,Haftungsausschluß!$O$6,FALSE)</f>
        <v>[m]</v>
      </c>
      <c r="F16" s="417" t="str">
        <f>IF($L$14=1,Preisliste!$E$7,Preisliste!$F$7)</f>
        <v>H251000</v>
      </c>
      <c r="G16" s="985" t="str">
        <f>VLOOKUP("Dammbalken 25/200 exkl. Dichtung, gesägt und entgratet",Sprachindex!$A:$Z,Haftungsausschluß!$O$6,FALSE) &amp; " (" &amp; ROUNDUP(C16/1000*2.99,2) &amp; " " &amp; VLOOKUP("kg/Stk",Sprachindex!$A:$Z,Haftungsausschluß!$O$6,FALSE) &amp; ")" &amp; IF('Kalkulation 1'!AH33," " &amp; H3,"")</f>
        <v>Dammbalken 25/200 exkl. Dichtung, gesägt und entgratet (0 kg/Stk)</v>
      </c>
      <c r="H16" s="986"/>
      <c r="I16" s="986"/>
      <c r="J16" s="986"/>
      <c r="K16" s="986"/>
      <c r="L16" s="986"/>
      <c r="M16" s="987"/>
      <c r="N16" s="519"/>
      <c r="O16" s="518">
        <f>N16*D16</f>
        <v>0</v>
      </c>
      <c r="P16" s="680"/>
      <c r="Q16" s="327"/>
      <c r="R16" s="610">
        <f>C16</f>
        <v>0</v>
      </c>
      <c r="S16" s="310"/>
      <c r="T16" s="310"/>
      <c r="U16" s="310"/>
      <c r="V16" s="310"/>
      <c r="W16" s="311"/>
      <c r="X16" s="311"/>
      <c r="Y16" s="311"/>
      <c r="Z16" s="311"/>
      <c r="AA16" s="310"/>
      <c r="AB16" s="413"/>
      <c r="AC16" s="413"/>
      <c r="AD16" s="413"/>
      <c r="AE16" s="413"/>
      <c r="AF16" s="413"/>
      <c r="AG16" s="413"/>
      <c r="AH16" s="413"/>
      <c r="AI16" s="413"/>
    </row>
    <row r="17" spans="2:35" ht="32.1" customHeight="1">
      <c r="B17" s="520"/>
      <c r="C17" s="521"/>
      <c r="D17" s="523">
        <f>B17*C17/1000</f>
        <v>0</v>
      </c>
      <c r="E17" s="318" t="str">
        <f>VLOOKUP("[m]",Sprachindex!$A:$Z,Haftungsausschluß!$O$6,FALSE)</f>
        <v>[m]</v>
      </c>
      <c r="F17" s="318" t="str">
        <f>IF($L$14=1,Preisliste!$E$7,Preisliste!$F$7)</f>
        <v>H251000</v>
      </c>
      <c r="G17" s="988" t="str">
        <f>VLOOKUP("Dammbalken 25/200 exkl. Dichtung, gesägt und entgratet",Sprachindex!$A:$Z,Haftungsausschluß!$O$6,FALSE) &amp; " (" &amp; ROUNDUP(C17/1000*2.99,2) &amp; " " &amp; VLOOKUP("kg/Stk",Sprachindex!$A:$Z,Haftungsausschluß!$O$6,FALSE) &amp; ")" &amp; IF('Kalkulation 1'!AH33," " &amp; H3,"")</f>
        <v>Dammbalken 25/200 exkl. Dichtung, gesägt und entgratet (0 kg/Stk)</v>
      </c>
      <c r="H17" s="989"/>
      <c r="I17" s="989"/>
      <c r="J17" s="989"/>
      <c r="K17" s="989"/>
      <c r="L17" s="989"/>
      <c r="M17" s="990"/>
      <c r="N17" s="519"/>
      <c r="O17" s="518">
        <f>N17*D17</f>
        <v>0</v>
      </c>
      <c r="Q17" s="327"/>
      <c r="R17" s="610">
        <f t="shared" ref="R17:R80" si="0">C17</f>
        <v>0</v>
      </c>
      <c r="S17" s="310"/>
      <c r="T17" s="310"/>
      <c r="U17" s="310"/>
      <c r="V17" s="310"/>
      <c r="W17" s="311"/>
      <c r="X17" s="311"/>
      <c r="Y17" s="311"/>
      <c r="Z17" s="311"/>
      <c r="AA17" s="310"/>
      <c r="AB17" s="413"/>
      <c r="AC17" s="413"/>
      <c r="AD17" s="413"/>
      <c r="AE17" s="413"/>
      <c r="AF17" s="413"/>
      <c r="AG17" s="413"/>
      <c r="AH17" s="413"/>
      <c r="AI17" s="413"/>
    </row>
    <row r="18" spans="2:35" ht="32.1" customHeight="1">
      <c r="B18" s="520"/>
      <c r="C18" s="521"/>
      <c r="D18" s="523">
        <f t="shared" ref="D18:D81" si="1">B18*C18/1000</f>
        <v>0</v>
      </c>
      <c r="E18" s="318" t="str">
        <f>VLOOKUP("[m]",Sprachindex!$A:$Z,Haftungsausschluß!$O$6,FALSE)</f>
        <v>[m]</v>
      </c>
      <c r="F18" s="318" t="str">
        <f>IF($L$14=1,Preisliste!$E$7,Preisliste!$F$7)</f>
        <v>H251000</v>
      </c>
      <c r="G18" s="988" t="str">
        <f>VLOOKUP("Dammbalken 25/200 exkl. Dichtung, gesägt und entgratet",Sprachindex!$A:$Z,Haftungsausschluß!$O$6,FALSE) &amp; " (" &amp; ROUNDUP(C18/1000*2.99,2) &amp; " " &amp; VLOOKUP("kg/Stk",Sprachindex!$A:$Z,Haftungsausschluß!$O$6,FALSE) &amp; ")" &amp; IF('Kalkulation 1'!AH33," " &amp; H3,"")</f>
        <v>Dammbalken 25/200 exkl. Dichtung, gesägt und entgratet (0 kg/Stk)</v>
      </c>
      <c r="H18" s="989"/>
      <c r="I18" s="989"/>
      <c r="J18" s="989"/>
      <c r="K18" s="989"/>
      <c r="L18" s="989"/>
      <c r="M18" s="990"/>
      <c r="N18" s="519"/>
      <c r="O18" s="518">
        <f t="shared" ref="O18:O35" si="2">N18*D18</f>
        <v>0</v>
      </c>
      <c r="Q18" s="327"/>
      <c r="R18" s="610">
        <f t="shared" si="0"/>
        <v>0</v>
      </c>
      <c r="S18" s="310"/>
      <c r="T18" s="310"/>
      <c r="U18" s="310"/>
      <c r="V18" s="310"/>
      <c r="W18" s="311"/>
      <c r="X18" s="311"/>
      <c r="Y18" s="311"/>
      <c r="Z18" s="311"/>
      <c r="AA18" s="310"/>
      <c r="AB18" s="413"/>
      <c r="AC18" s="413"/>
      <c r="AD18" s="413"/>
      <c r="AE18" s="413"/>
      <c r="AF18" s="413"/>
      <c r="AG18" s="413"/>
      <c r="AH18" s="413"/>
      <c r="AI18" s="413"/>
    </row>
    <row r="19" spans="2:35" ht="32.1" customHeight="1">
      <c r="B19" s="520"/>
      <c r="C19" s="521"/>
      <c r="D19" s="523">
        <f t="shared" si="1"/>
        <v>0</v>
      </c>
      <c r="E19" s="318" t="str">
        <f>VLOOKUP("[m]",Sprachindex!$A:$Z,Haftungsausschluß!$O$6,FALSE)</f>
        <v>[m]</v>
      </c>
      <c r="F19" s="318" t="str">
        <f>IF($L$14=1,Preisliste!$E$7,Preisliste!$F$7)</f>
        <v>H251000</v>
      </c>
      <c r="G19" s="988" t="str">
        <f>VLOOKUP("Dammbalken 25/200 exkl. Dichtung, gesägt und entgratet",Sprachindex!$A:$Z,Haftungsausschluß!$O$6,FALSE) &amp; " (" &amp; ROUNDUP(C19/1000*2.99,2) &amp; " " &amp; VLOOKUP("kg/Stk",Sprachindex!$A:$Z,Haftungsausschluß!$O$6,FALSE) &amp; ")" &amp; IF('Kalkulation 1'!AH33," " &amp; H3,"")</f>
        <v>Dammbalken 25/200 exkl. Dichtung, gesägt und entgratet (0 kg/Stk)</v>
      </c>
      <c r="H19" s="989"/>
      <c r="I19" s="989"/>
      <c r="J19" s="989"/>
      <c r="K19" s="989"/>
      <c r="L19" s="989"/>
      <c r="M19" s="990"/>
      <c r="N19" s="519"/>
      <c r="O19" s="518">
        <f t="shared" si="2"/>
        <v>0</v>
      </c>
      <c r="Q19" s="327"/>
      <c r="R19" s="610">
        <f t="shared" si="0"/>
        <v>0</v>
      </c>
      <c r="S19" s="310"/>
      <c r="T19" s="310"/>
      <c r="U19" s="310"/>
      <c r="V19" s="310"/>
      <c r="W19" s="311"/>
      <c r="X19" s="311"/>
      <c r="Y19" s="311"/>
      <c r="Z19" s="311"/>
      <c r="AA19" s="310"/>
      <c r="AB19" s="413"/>
      <c r="AC19" s="413"/>
      <c r="AD19" s="413"/>
      <c r="AE19" s="413"/>
      <c r="AF19" s="413"/>
      <c r="AG19" s="413"/>
      <c r="AH19" s="413"/>
      <c r="AI19" s="413"/>
    </row>
    <row r="20" spans="2:35" ht="32.1" customHeight="1">
      <c r="B20" s="520"/>
      <c r="C20" s="521"/>
      <c r="D20" s="523">
        <f t="shared" si="1"/>
        <v>0</v>
      </c>
      <c r="E20" s="318" t="str">
        <f>VLOOKUP("[m]",Sprachindex!$A:$Z,Haftungsausschluß!$O$6,FALSE)</f>
        <v>[m]</v>
      </c>
      <c r="F20" s="318" t="str">
        <f>IF($L$14=1,Preisliste!$E$7,Preisliste!$F$7)</f>
        <v>H251000</v>
      </c>
      <c r="G20" s="988" t="str">
        <f>VLOOKUP("Dammbalken 25/200 exkl. Dichtung, gesägt und entgratet",Sprachindex!$A:$Z,Haftungsausschluß!$O$6,FALSE) &amp; " (" &amp; ROUNDUP(C20/1000*2.99,2) &amp; " " &amp; VLOOKUP("kg/Stk",Sprachindex!$A:$Z,Haftungsausschluß!$O$6,FALSE) &amp; ")" &amp; IF('Kalkulation 1'!AH33," " &amp; H3,"")</f>
        <v>Dammbalken 25/200 exkl. Dichtung, gesägt und entgratet (0 kg/Stk)</v>
      </c>
      <c r="H20" s="989"/>
      <c r="I20" s="989"/>
      <c r="J20" s="989"/>
      <c r="K20" s="989"/>
      <c r="L20" s="989"/>
      <c r="M20" s="990"/>
      <c r="N20" s="519"/>
      <c r="O20" s="518">
        <f t="shared" si="2"/>
        <v>0</v>
      </c>
      <c r="Q20" s="327"/>
      <c r="R20" s="610">
        <f t="shared" si="0"/>
        <v>0</v>
      </c>
      <c r="S20" s="310"/>
      <c r="T20" s="310"/>
      <c r="U20" s="310"/>
      <c r="V20" s="310"/>
      <c r="W20" s="311"/>
      <c r="X20" s="311"/>
      <c r="Y20" s="311"/>
      <c r="Z20" s="311"/>
      <c r="AA20" s="310"/>
      <c r="AB20" s="413"/>
      <c r="AC20" s="413"/>
      <c r="AD20" s="413"/>
      <c r="AE20" s="413"/>
      <c r="AF20" s="413"/>
      <c r="AG20" s="413"/>
      <c r="AH20" s="413"/>
      <c r="AI20" s="413"/>
    </row>
    <row r="21" spans="2:35" ht="32.1" customHeight="1">
      <c r="B21" s="520"/>
      <c r="C21" s="521"/>
      <c r="D21" s="523">
        <f t="shared" si="1"/>
        <v>0</v>
      </c>
      <c r="E21" s="318" t="str">
        <f>VLOOKUP("[m]",Sprachindex!$A:$Z,Haftungsausschluß!$O$6,FALSE)</f>
        <v>[m]</v>
      </c>
      <c r="F21" s="318" t="str">
        <f>IF($L$14=1,Preisliste!$E$7,Preisliste!$F$7)</f>
        <v>H251000</v>
      </c>
      <c r="G21" s="988" t="str">
        <f>VLOOKUP("Dammbalken 25/200 exkl. Dichtung, gesägt und entgratet",Sprachindex!$A:$Z,Haftungsausschluß!$O$6,FALSE) &amp; " (" &amp; ROUNDUP(C21/1000*2.99,2) &amp; " " &amp; VLOOKUP("kg/Stk",Sprachindex!$A:$Z,Haftungsausschluß!$O$6,FALSE) &amp; ")" &amp; IF('Kalkulation 1'!AH33," " &amp; H3,"")</f>
        <v>Dammbalken 25/200 exkl. Dichtung, gesägt und entgratet (0 kg/Stk)</v>
      </c>
      <c r="H21" s="989"/>
      <c r="I21" s="989"/>
      <c r="J21" s="989"/>
      <c r="K21" s="989"/>
      <c r="L21" s="989"/>
      <c r="M21" s="990"/>
      <c r="N21" s="519"/>
      <c r="O21" s="518">
        <f t="shared" si="2"/>
        <v>0</v>
      </c>
      <c r="Q21" s="327"/>
      <c r="R21" s="610">
        <f t="shared" si="0"/>
        <v>0</v>
      </c>
      <c r="S21" s="310"/>
      <c r="T21" s="310"/>
      <c r="U21" s="310"/>
      <c r="V21" s="310"/>
      <c r="W21" s="311"/>
      <c r="X21" s="311"/>
      <c r="Y21" s="311"/>
      <c r="Z21" s="311"/>
      <c r="AA21" s="310"/>
      <c r="AB21" s="413"/>
      <c r="AC21" s="413"/>
      <c r="AD21" s="413"/>
      <c r="AE21" s="413"/>
      <c r="AF21" s="413"/>
      <c r="AG21" s="413"/>
      <c r="AH21" s="413"/>
      <c r="AI21" s="413"/>
    </row>
    <row r="22" spans="2:35" ht="32.1" customHeight="1">
      <c r="B22" s="520"/>
      <c r="C22" s="521"/>
      <c r="D22" s="523">
        <f t="shared" si="1"/>
        <v>0</v>
      </c>
      <c r="E22" s="318" t="str">
        <f>VLOOKUP("[m]",Sprachindex!$A:$Z,Haftungsausschluß!$O$6,FALSE)</f>
        <v>[m]</v>
      </c>
      <c r="F22" s="318" t="str">
        <f>IF($L$14=1,Preisliste!$E$7,Preisliste!$F$7)</f>
        <v>H251000</v>
      </c>
      <c r="G22" s="988" t="str">
        <f>VLOOKUP("Dammbalken 25/200 exkl. Dichtung, gesägt und entgratet",Sprachindex!$A:$Z,Haftungsausschluß!$O$6,FALSE) &amp; " (" &amp; ROUNDUP(C22/1000*2.99,2) &amp; " " &amp; VLOOKUP("kg/Stk",Sprachindex!$A:$Z,Haftungsausschluß!$O$6,FALSE) &amp; ")" &amp; IF('Kalkulation 1'!AH33," " &amp; H3,"")</f>
        <v>Dammbalken 25/200 exkl. Dichtung, gesägt und entgratet (0 kg/Stk)</v>
      </c>
      <c r="H22" s="989"/>
      <c r="I22" s="989"/>
      <c r="J22" s="989"/>
      <c r="K22" s="989"/>
      <c r="L22" s="989"/>
      <c r="M22" s="990"/>
      <c r="N22" s="519"/>
      <c r="O22" s="518">
        <f t="shared" si="2"/>
        <v>0</v>
      </c>
      <c r="Q22" s="327"/>
      <c r="R22" s="610">
        <f t="shared" si="0"/>
        <v>0</v>
      </c>
      <c r="S22" s="310"/>
      <c r="T22" s="310"/>
      <c r="U22" s="310"/>
      <c r="V22" s="310"/>
      <c r="W22" s="311"/>
      <c r="X22" s="311"/>
      <c r="Y22" s="311"/>
      <c r="Z22" s="311"/>
      <c r="AA22" s="310"/>
      <c r="AB22" s="413"/>
      <c r="AC22" s="413"/>
      <c r="AD22" s="413"/>
      <c r="AE22" s="413"/>
      <c r="AF22" s="413"/>
      <c r="AG22" s="413"/>
      <c r="AH22" s="413"/>
      <c r="AI22" s="413"/>
    </row>
    <row r="23" spans="2:35" ht="32.1" customHeight="1">
      <c r="B23" s="520"/>
      <c r="C23" s="521"/>
      <c r="D23" s="523">
        <f t="shared" si="1"/>
        <v>0</v>
      </c>
      <c r="E23" s="318" t="str">
        <f>VLOOKUP("[m]",Sprachindex!$A:$Z,Haftungsausschluß!$O$6,FALSE)</f>
        <v>[m]</v>
      </c>
      <c r="F23" s="318" t="str">
        <f>IF($L$14=1,Preisliste!$E$7,Preisliste!$F$7)</f>
        <v>H251000</v>
      </c>
      <c r="G23" s="988" t="str">
        <f>VLOOKUP("Dammbalken 25/200 exkl. Dichtung, gesägt und entgratet",Sprachindex!$A:$Z,Haftungsausschluß!$O$6,FALSE) &amp; " (" &amp; ROUNDUP(C23/1000*2.99,2) &amp; " " &amp; VLOOKUP("kg/Stk",Sprachindex!$A:$Z,Haftungsausschluß!$O$6,FALSE) &amp; ")" &amp; IF('Kalkulation 1'!AH33," " &amp; H3,"")</f>
        <v>Dammbalken 25/200 exkl. Dichtung, gesägt und entgratet (0 kg/Stk)</v>
      </c>
      <c r="H23" s="989"/>
      <c r="I23" s="989"/>
      <c r="J23" s="989"/>
      <c r="K23" s="989"/>
      <c r="L23" s="989"/>
      <c r="M23" s="990"/>
      <c r="N23" s="519"/>
      <c r="O23" s="518">
        <f t="shared" si="2"/>
        <v>0</v>
      </c>
      <c r="Q23" s="327"/>
      <c r="R23" s="610">
        <f t="shared" si="0"/>
        <v>0</v>
      </c>
      <c r="S23" s="310"/>
      <c r="T23" s="310"/>
      <c r="U23" s="310"/>
      <c r="V23" s="310"/>
      <c r="W23" s="311"/>
      <c r="X23" s="311"/>
      <c r="Y23" s="311"/>
      <c r="Z23" s="311"/>
      <c r="AA23" s="310"/>
      <c r="AB23" s="413"/>
      <c r="AC23" s="413"/>
      <c r="AD23" s="413"/>
      <c r="AE23" s="413"/>
      <c r="AF23" s="413"/>
      <c r="AG23" s="413"/>
      <c r="AH23" s="413"/>
      <c r="AI23" s="413"/>
    </row>
    <row r="24" spans="2:35" ht="32.1" customHeight="1">
      <c r="B24" s="520"/>
      <c r="C24" s="521"/>
      <c r="D24" s="523">
        <f t="shared" si="1"/>
        <v>0</v>
      </c>
      <c r="E24" s="318" t="str">
        <f>VLOOKUP("[m]",Sprachindex!$A:$Z,Haftungsausschluß!$O$6,FALSE)</f>
        <v>[m]</v>
      </c>
      <c r="F24" s="318" t="str">
        <f>IF($L$14=1,Preisliste!$E$7,Preisliste!$F$7)</f>
        <v>H251000</v>
      </c>
      <c r="G24" s="988" t="str">
        <f>VLOOKUP("Dammbalken 25/200 exkl. Dichtung, gesägt und entgratet",Sprachindex!$A:$Z,Haftungsausschluß!$O$6,FALSE) &amp; " (" &amp; ROUNDUP(C24/1000*2.99,2) &amp; " " &amp; VLOOKUP("kg/Stk",Sprachindex!$A:$Z,Haftungsausschluß!$O$6,FALSE) &amp; ")" &amp; IF('Kalkulation 1'!AH33," " &amp; H3,"")</f>
        <v>Dammbalken 25/200 exkl. Dichtung, gesägt und entgratet (0 kg/Stk)</v>
      </c>
      <c r="H24" s="989"/>
      <c r="I24" s="989"/>
      <c r="J24" s="989"/>
      <c r="K24" s="989"/>
      <c r="L24" s="989"/>
      <c r="M24" s="990"/>
      <c r="N24" s="519"/>
      <c r="O24" s="518">
        <f t="shared" si="2"/>
        <v>0</v>
      </c>
      <c r="Q24" s="327"/>
      <c r="R24" s="610">
        <f t="shared" si="0"/>
        <v>0</v>
      </c>
      <c r="S24" s="310"/>
      <c r="T24" s="310"/>
      <c r="U24" s="310"/>
      <c r="V24" s="310"/>
      <c r="W24" s="311"/>
      <c r="X24" s="311"/>
      <c r="Y24" s="311"/>
      <c r="Z24" s="311"/>
      <c r="AA24" s="310"/>
      <c r="AB24" s="413"/>
      <c r="AC24" s="413"/>
      <c r="AD24" s="413"/>
      <c r="AE24" s="413"/>
      <c r="AF24" s="413"/>
      <c r="AG24" s="413"/>
      <c r="AH24" s="413"/>
      <c r="AI24" s="413"/>
    </row>
    <row r="25" spans="2:35" ht="32.1" customHeight="1">
      <c r="B25" s="520"/>
      <c r="C25" s="521"/>
      <c r="D25" s="523">
        <f t="shared" si="1"/>
        <v>0</v>
      </c>
      <c r="E25" s="318" t="str">
        <f>VLOOKUP("[m]",Sprachindex!$A:$Z,Haftungsausschluß!$O$6,FALSE)</f>
        <v>[m]</v>
      </c>
      <c r="F25" s="318" t="str">
        <f>IF($L$14=1,Preisliste!$E$7,Preisliste!$F$7)</f>
        <v>H251000</v>
      </c>
      <c r="G25" s="988" t="str">
        <f>VLOOKUP("Dammbalken 25/200 exkl. Dichtung, gesägt und entgratet",Sprachindex!$A:$Z,Haftungsausschluß!$O$6,FALSE) &amp; " (" &amp; ROUNDUP(C25/1000*2.99,2) &amp; " " &amp; VLOOKUP("kg/Stk",Sprachindex!$A:$Z,Haftungsausschluß!$O$6,FALSE) &amp; ")" &amp; IF('Kalkulation 1'!AH33," " &amp; H3,"")</f>
        <v>Dammbalken 25/200 exkl. Dichtung, gesägt und entgratet (0 kg/Stk)</v>
      </c>
      <c r="H25" s="989"/>
      <c r="I25" s="989"/>
      <c r="J25" s="989"/>
      <c r="K25" s="989"/>
      <c r="L25" s="989"/>
      <c r="M25" s="990"/>
      <c r="N25" s="519"/>
      <c r="O25" s="518">
        <f t="shared" si="2"/>
        <v>0</v>
      </c>
      <c r="Q25" s="327"/>
      <c r="R25" s="610">
        <f t="shared" si="0"/>
        <v>0</v>
      </c>
      <c r="S25" s="310"/>
      <c r="T25" s="310"/>
      <c r="U25" s="310"/>
      <c r="V25" s="310"/>
      <c r="W25" s="311"/>
      <c r="X25" s="311"/>
      <c r="Y25" s="311"/>
      <c r="Z25" s="311"/>
      <c r="AA25" s="310"/>
      <c r="AB25" s="413"/>
      <c r="AC25" s="413"/>
      <c r="AD25" s="413"/>
      <c r="AE25" s="413"/>
      <c r="AF25" s="413"/>
      <c r="AG25" s="413"/>
      <c r="AH25" s="413"/>
      <c r="AI25" s="413"/>
    </row>
    <row r="26" spans="2:35" ht="32.1" customHeight="1">
      <c r="B26" s="520"/>
      <c r="C26" s="521"/>
      <c r="D26" s="523">
        <f t="shared" si="1"/>
        <v>0</v>
      </c>
      <c r="E26" s="318" t="str">
        <f>VLOOKUP("[m]",Sprachindex!$A:$Z,Haftungsausschluß!$O$6,FALSE)</f>
        <v>[m]</v>
      </c>
      <c r="F26" s="318" t="str">
        <f>IF($L$14=1,Preisliste!$E$7,Preisliste!$F$7)</f>
        <v>H251000</v>
      </c>
      <c r="G26" s="988" t="str">
        <f>VLOOKUP("Dammbalken 25/200 exkl. Dichtung, gesägt und entgratet",Sprachindex!$A:$Z,Haftungsausschluß!$O$6,FALSE) &amp; " (" &amp; ROUNDUP(C26/1000*2.99,2) &amp; " " &amp; VLOOKUP("kg/Stk",Sprachindex!$A:$Z,Haftungsausschluß!$O$6,FALSE) &amp; ")" &amp; IF('Kalkulation 1'!AH33," " &amp; H3,"")</f>
        <v>Dammbalken 25/200 exkl. Dichtung, gesägt und entgratet (0 kg/Stk)</v>
      </c>
      <c r="H26" s="989"/>
      <c r="I26" s="989"/>
      <c r="J26" s="989"/>
      <c r="K26" s="989"/>
      <c r="L26" s="989"/>
      <c r="M26" s="990"/>
      <c r="N26" s="519"/>
      <c r="O26" s="518">
        <f t="shared" si="2"/>
        <v>0</v>
      </c>
      <c r="Q26" s="327"/>
      <c r="R26" s="610">
        <f t="shared" si="0"/>
        <v>0</v>
      </c>
      <c r="S26" s="310"/>
      <c r="T26" s="310"/>
      <c r="U26" s="310"/>
      <c r="V26" s="310"/>
      <c r="W26" s="311"/>
      <c r="X26" s="311"/>
      <c r="Y26" s="311"/>
      <c r="Z26" s="311"/>
      <c r="AA26" s="310"/>
      <c r="AB26" s="413"/>
      <c r="AC26" s="413"/>
      <c r="AD26" s="413"/>
      <c r="AE26" s="413"/>
      <c r="AF26" s="413"/>
      <c r="AG26" s="413"/>
      <c r="AH26" s="413"/>
      <c r="AI26" s="413"/>
    </row>
    <row r="27" spans="2:35" ht="32.1" customHeight="1">
      <c r="B27" s="520"/>
      <c r="C27" s="521"/>
      <c r="D27" s="523">
        <f t="shared" si="1"/>
        <v>0</v>
      </c>
      <c r="E27" s="318" t="str">
        <f>VLOOKUP("[m]",Sprachindex!$A:$Z,Haftungsausschluß!$O$6,FALSE)</f>
        <v>[m]</v>
      </c>
      <c r="F27" s="318" t="str">
        <f>IF($L$14=1,Preisliste!$E$7,Preisliste!$F$7)</f>
        <v>H251000</v>
      </c>
      <c r="G27" s="988" t="str">
        <f>VLOOKUP("Dammbalken 25/200 exkl. Dichtung, gesägt und entgratet",Sprachindex!$A:$Z,Haftungsausschluß!$O$6,FALSE) &amp; " (" &amp; ROUNDUP(C27/1000*2.99,2) &amp; " " &amp; VLOOKUP("kg/Stk",Sprachindex!$A:$Z,Haftungsausschluß!$O$6,FALSE) &amp; ")" &amp; IF('Kalkulation 1'!AH33," " &amp; H3,"")</f>
        <v>Dammbalken 25/200 exkl. Dichtung, gesägt und entgratet (0 kg/Stk)</v>
      </c>
      <c r="H27" s="989"/>
      <c r="I27" s="989"/>
      <c r="J27" s="989"/>
      <c r="K27" s="989"/>
      <c r="L27" s="989"/>
      <c r="M27" s="990"/>
      <c r="N27" s="519"/>
      <c r="O27" s="518">
        <f t="shared" si="2"/>
        <v>0</v>
      </c>
      <c r="Q27" s="327"/>
      <c r="R27" s="610">
        <f t="shared" si="0"/>
        <v>0</v>
      </c>
      <c r="S27" s="310"/>
      <c r="T27" s="310"/>
      <c r="U27" s="310"/>
      <c r="V27" s="310"/>
      <c r="W27" s="311"/>
      <c r="X27" s="311"/>
      <c r="Y27" s="311"/>
      <c r="Z27" s="311"/>
      <c r="AA27" s="310"/>
      <c r="AB27" s="413"/>
      <c r="AC27" s="413"/>
      <c r="AD27" s="413"/>
      <c r="AE27" s="413"/>
      <c r="AF27" s="413"/>
      <c r="AG27" s="413"/>
      <c r="AH27" s="413"/>
      <c r="AI27" s="413"/>
    </row>
    <row r="28" spans="2:35" ht="32.1" customHeight="1">
      <c r="B28" s="520"/>
      <c r="C28" s="521"/>
      <c r="D28" s="523">
        <f t="shared" si="1"/>
        <v>0</v>
      </c>
      <c r="E28" s="318" t="str">
        <f>VLOOKUP("[m]",Sprachindex!$A:$Z,Haftungsausschluß!$O$6,FALSE)</f>
        <v>[m]</v>
      </c>
      <c r="F28" s="318" t="str">
        <f>IF($L$14=1,Preisliste!$E$7,Preisliste!$F$7)</f>
        <v>H251000</v>
      </c>
      <c r="G28" s="988" t="str">
        <f>VLOOKUP("Dammbalken 25/200 exkl. Dichtung, gesägt und entgratet",Sprachindex!$A:$Z,Haftungsausschluß!$O$6,FALSE) &amp; " (" &amp; ROUNDUP(C28/1000*2.99,2) &amp; " " &amp; VLOOKUP("kg/Stk",Sprachindex!$A:$Z,Haftungsausschluß!$O$6,FALSE) &amp; ")" &amp; IF('Kalkulation 1'!AH33," " &amp; H3,"")</f>
        <v>Dammbalken 25/200 exkl. Dichtung, gesägt und entgratet (0 kg/Stk)</v>
      </c>
      <c r="H28" s="989"/>
      <c r="I28" s="989"/>
      <c r="J28" s="989"/>
      <c r="K28" s="989"/>
      <c r="L28" s="989"/>
      <c r="M28" s="990"/>
      <c r="N28" s="519"/>
      <c r="O28" s="518">
        <f t="shared" si="2"/>
        <v>0</v>
      </c>
      <c r="Q28" s="327"/>
      <c r="R28" s="610">
        <f t="shared" si="0"/>
        <v>0</v>
      </c>
      <c r="S28" s="310"/>
      <c r="T28" s="310"/>
      <c r="U28" s="310"/>
      <c r="V28" s="310"/>
      <c r="W28" s="311"/>
      <c r="X28" s="311"/>
      <c r="Y28" s="311"/>
      <c r="Z28" s="311"/>
      <c r="AA28" s="310"/>
      <c r="AB28" s="413"/>
      <c r="AC28" s="413"/>
      <c r="AD28" s="413"/>
      <c r="AE28" s="413"/>
      <c r="AF28" s="413"/>
      <c r="AG28" s="413"/>
      <c r="AH28" s="413"/>
      <c r="AI28" s="413"/>
    </row>
    <row r="29" spans="2:35" ht="32.1" customHeight="1">
      <c r="B29" s="520"/>
      <c r="C29" s="521"/>
      <c r="D29" s="523">
        <f t="shared" si="1"/>
        <v>0</v>
      </c>
      <c r="E29" s="318" t="str">
        <f>VLOOKUP("[m]",Sprachindex!$A:$Z,Haftungsausschluß!$O$6,FALSE)</f>
        <v>[m]</v>
      </c>
      <c r="F29" s="318" t="str">
        <f>IF($L$14=1,Preisliste!$E$7,Preisliste!$F$7)</f>
        <v>H251000</v>
      </c>
      <c r="G29" s="988" t="str">
        <f>VLOOKUP("Dammbalken 25/200 exkl. Dichtung, gesägt und entgratet",Sprachindex!$A:$Z,Haftungsausschluß!$O$6,FALSE) &amp; " (" &amp; ROUNDUP(C29/1000*2.99,2) &amp; " " &amp; VLOOKUP("kg/Stk",Sprachindex!$A:$Z,Haftungsausschluß!$O$6,FALSE) &amp; ")" &amp; IF('Kalkulation 1'!AH33," " &amp; H3,"")</f>
        <v>Dammbalken 25/200 exkl. Dichtung, gesägt und entgratet (0 kg/Stk)</v>
      </c>
      <c r="H29" s="989"/>
      <c r="I29" s="989"/>
      <c r="J29" s="989"/>
      <c r="K29" s="989"/>
      <c r="L29" s="989"/>
      <c r="M29" s="990"/>
      <c r="N29" s="519"/>
      <c r="O29" s="518">
        <f t="shared" si="2"/>
        <v>0</v>
      </c>
      <c r="Q29" s="327"/>
      <c r="R29" s="610">
        <f t="shared" si="0"/>
        <v>0</v>
      </c>
      <c r="S29" s="310"/>
      <c r="T29" s="310"/>
      <c r="U29" s="310"/>
      <c r="V29" s="310"/>
      <c r="W29" s="311"/>
      <c r="X29" s="311"/>
      <c r="Y29" s="311"/>
      <c r="Z29" s="311"/>
      <c r="AA29" s="310"/>
      <c r="AB29" s="413"/>
      <c r="AC29" s="413"/>
      <c r="AD29" s="413"/>
      <c r="AE29" s="413"/>
      <c r="AF29" s="413"/>
      <c r="AG29" s="413"/>
      <c r="AH29" s="413"/>
      <c r="AI29" s="413"/>
    </row>
    <row r="30" spans="2:35" ht="32.1" customHeight="1">
      <c r="B30" s="520"/>
      <c r="C30" s="521"/>
      <c r="D30" s="523">
        <f t="shared" si="1"/>
        <v>0</v>
      </c>
      <c r="E30" s="318" t="str">
        <f>VLOOKUP("[m]",Sprachindex!$A:$Z,Haftungsausschluß!$O$6,FALSE)</f>
        <v>[m]</v>
      </c>
      <c r="F30" s="318" t="str">
        <f>IF($L$14=1,Preisliste!$E$7,Preisliste!$F$7)</f>
        <v>H251000</v>
      </c>
      <c r="G30" s="988" t="str">
        <f>VLOOKUP("Dammbalken 25/200 exkl. Dichtung, gesägt und entgratet",Sprachindex!$A:$Z,Haftungsausschluß!$O$6,FALSE) &amp; " (" &amp; ROUNDUP(C30/1000*2.99,2) &amp; " " &amp; VLOOKUP("kg/Stk",Sprachindex!$A:$Z,Haftungsausschluß!$O$6,FALSE) &amp; ")" &amp; IF('Kalkulation 1'!AH33," " &amp; H3,"")</f>
        <v>Dammbalken 25/200 exkl. Dichtung, gesägt und entgratet (0 kg/Stk)</v>
      </c>
      <c r="H30" s="989"/>
      <c r="I30" s="989"/>
      <c r="J30" s="989"/>
      <c r="K30" s="989"/>
      <c r="L30" s="989"/>
      <c r="M30" s="990"/>
      <c r="N30" s="519"/>
      <c r="O30" s="518">
        <f t="shared" si="2"/>
        <v>0</v>
      </c>
      <c r="Q30" s="327"/>
      <c r="R30" s="610">
        <f t="shared" si="0"/>
        <v>0</v>
      </c>
      <c r="S30" s="310"/>
      <c r="T30" s="310"/>
      <c r="U30" s="310"/>
      <c r="V30" s="310"/>
      <c r="W30" s="311"/>
      <c r="X30" s="311"/>
      <c r="Y30" s="311"/>
      <c r="Z30" s="311"/>
      <c r="AA30" s="310"/>
      <c r="AB30" s="413"/>
      <c r="AC30" s="413"/>
      <c r="AD30" s="413"/>
      <c r="AE30" s="413"/>
      <c r="AF30" s="413"/>
      <c r="AG30" s="413"/>
      <c r="AH30" s="413"/>
      <c r="AI30" s="413"/>
    </row>
    <row r="31" spans="2:35" ht="32.1" customHeight="1">
      <c r="B31" s="520"/>
      <c r="C31" s="521"/>
      <c r="D31" s="523">
        <f t="shared" si="1"/>
        <v>0</v>
      </c>
      <c r="E31" s="318" t="str">
        <f>VLOOKUP("[m]",Sprachindex!$A:$Z,Haftungsausschluß!$O$6,FALSE)</f>
        <v>[m]</v>
      </c>
      <c r="F31" s="318" t="str">
        <f>IF($L$14=1,Preisliste!$E$7,Preisliste!$F$7)</f>
        <v>H251000</v>
      </c>
      <c r="G31" s="988" t="str">
        <f>VLOOKUP("Dammbalken 25/200 exkl. Dichtung, gesägt und entgratet",Sprachindex!$A:$Z,Haftungsausschluß!$O$6,FALSE) &amp; " (" &amp; ROUNDUP(C31/1000*2.99,2) &amp; " " &amp; VLOOKUP("kg/Stk",Sprachindex!$A:$Z,Haftungsausschluß!$O$6,FALSE) &amp; ")" &amp; IF('Kalkulation 1'!AH33," " &amp; H3,"")</f>
        <v>Dammbalken 25/200 exkl. Dichtung, gesägt und entgratet (0 kg/Stk)</v>
      </c>
      <c r="H31" s="989"/>
      <c r="I31" s="989"/>
      <c r="J31" s="989"/>
      <c r="K31" s="989"/>
      <c r="L31" s="989"/>
      <c r="M31" s="990"/>
      <c r="N31" s="519"/>
      <c r="O31" s="518">
        <f t="shared" si="2"/>
        <v>0</v>
      </c>
      <c r="Q31" s="327"/>
      <c r="R31" s="610">
        <f t="shared" si="0"/>
        <v>0</v>
      </c>
      <c r="S31" s="310"/>
      <c r="T31" s="310"/>
      <c r="U31" s="310"/>
      <c r="V31" s="310"/>
      <c r="W31" s="311"/>
      <c r="X31" s="311"/>
      <c r="Y31" s="311"/>
      <c r="Z31" s="311"/>
      <c r="AA31" s="310"/>
      <c r="AB31" s="413"/>
      <c r="AC31" s="413"/>
      <c r="AD31" s="413"/>
      <c r="AE31" s="413"/>
      <c r="AF31" s="413"/>
      <c r="AG31" s="413"/>
      <c r="AH31" s="413"/>
      <c r="AI31" s="413"/>
    </row>
    <row r="32" spans="2:35" ht="32.1" customHeight="1">
      <c r="B32" s="520"/>
      <c r="C32" s="521"/>
      <c r="D32" s="523">
        <f t="shared" si="1"/>
        <v>0</v>
      </c>
      <c r="E32" s="318" t="str">
        <f>VLOOKUP("[m]",Sprachindex!$A:$Z,Haftungsausschluß!$O$6,FALSE)</f>
        <v>[m]</v>
      </c>
      <c r="F32" s="318" t="str">
        <f>IF($L$14=1,Preisliste!$E$7,Preisliste!$F$7)</f>
        <v>H251000</v>
      </c>
      <c r="G32" s="988" t="str">
        <f>VLOOKUP("Dammbalken 25/200 exkl. Dichtung, gesägt und entgratet",Sprachindex!$A:$Z,Haftungsausschluß!$O$6,FALSE) &amp; " (" &amp; ROUNDUP(C32/1000*2.99,2) &amp; " " &amp; VLOOKUP("kg/Stk",Sprachindex!$A:$Z,Haftungsausschluß!$O$6,FALSE) &amp; ")" &amp; IF('Kalkulation 1'!AH33," " &amp; H3,"")</f>
        <v>Dammbalken 25/200 exkl. Dichtung, gesägt und entgratet (0 kg/Stk)</v>
      </c>
      <c r="H32" s="989"/>
      <c r="I32" s="989"/>
      <c r="J32" s="989"/>
      <c r="K32" s="989"/>
      <c r="L32" s="989"/>
      <c r="M32" s="990"/>
      <c r="N32" s="519"/>
      <c r="O32" s="518">
        <f t="shared" si="2"/>
        <v>0</v>
      </c>
      <c r="Q32" s="327"/>
      <c r="R32" s="610">
        <f t="shared" si="0"/>
        <v>0</v>
      </c>
      <c r="S32" s="310"/>
      <c r="T32" s="310"/>
      <c r="U32" s="310"/>
      <c r="V32" s="310"/>
      <c r="W32" s="311"/>
      <c r="X32" s="311"/>
      <c r="Y32" s="311"/>
      <c r="Z32" s="311"/>
      <c r="AA32" s="310"/>
      <c r="AB32" s="413"/>
      <c r="AC32" s="413"/>
      <c r="AD32" s="413"/>
      <c r="AE32" s="413"/>
      <c r="AF32" s="413"/>
      <c r="AG32" s="413"/>
      <c r="AH32" s="413"/>
      <c r="AI32" s="413"/>
    </row>
    <row r="33" spans="2:35" ht="32.1" customHeight="1">
      <c r="B33" s="520"/>
      <c r="C33" s="521"/>
      <c r="D33" s="523">
        <f t="shared" si="1"/>
        <v>0</v>
      </c>
      <c r="E33" s="318" t="str">
        <f>VLOOKUP("[m]",Sprachindex!$A:$Z,Haftungsausschluß!$O$6,FALSE)</f>
        <v>[m]</v>
      </c>
      <c r="F33" s="318" t="str">
        <f>IF($L$14=1,Preisliste!$E$7,Preisliste!$F$7)</f>
        <v>H251000</v>
      </c>
      <c r="G33" s="988" t="str">
        <f>VLOOKUP("Dammbalken 25/200 exkl. Dichtung, gesägt und entgratet",Sprachindex!$A:$Z,Haftungsausschluß!$O$6,FALSE) &amp; " (" &amp; ROUNDUP(C33/1000*2.99,2) &amp; " " &amp; VLOOKUP("kg/Stk",Sprachindex!$A:$Z,Haftungsausschluß!$O$6,FALSE) &amp; ")" &amp; IF('Kalkulation 1'!AH33," " &amp; H3,"")</f>
        <v>Dammbalken 25/200 exkl. Dichtung, gesägt und entgratet (0 kg/Stk)</v>
      </c>
      <c r="H33" s="989"/>
      <c r="I33" s="989"/>
      <c r="J33" s="989"/>
      <c r="K33" s="989"/>
      <c r="L33" s="989"/>
      <c r="M33" s="990"/>
      <c r="N33" s="519"/>
      <c r="O33" s="518">
        <f t="shared" si="2"/>
        <v>0</v>
      </c>
      <c r="Q33" s="327"/>
      <c r="R33" s="610">
        <f t="shared" si="0"/>
        <v>0</v>
      </c>
      <c r="S33" s="310"/>
      <c r="T33" s="310"/>
      <c r="U33" s="310"/>
      <c r="V33" s="310"/>
      <c r="W33" s="311"/>
      <c r="X33" s="311"/>
      <c r="Y33" s="311"/>
      <c r="Z33" s="311"/>
      <c r="AA33" s="310"/>
      <c r="AB33" s="413"/>
      <c r="AC33" s="413"/>
      <c r="AD33" s="413"/>
      <c r="AE33" s="413"/>
      <c r="AF33" s="413"/>
      <c r="AG33" s="413"/>
      <c r="AH33" s="413"/>
      <c r="AI33" s="413"/>
    </row>
    <row r="34" spans="2:35" ht="31.5" customHeight="1">
      <c r="B34" s="520"/>
      <c r="C34" s="521"/>
      <c r="D34" s="523">
        <f t="shared" si="1"/>
        <v>0</v>
      </c>
      <c r="E34" s="318" t="str">
        <f>VLOOKUP("[m]",Sprachindex!$A:$Z,Haftungsausschluß!$O$6,FALSE)</f>
        <v>[m]</v>
      </c>
      <c r="F34" s="318" t="str">
        <f>IF($L$14=1,Preisliste!$E$7,Preisliste!$F$7)</f>
        <v>H251000</v>
      </c>
      <c r="G34" s="988" t="str">
        <f>VLOOKUP("Dammbalken 25/200 exkl. Dichtung, gesägt und entgratet",Sprachindex!$A:$Z,Haftungsausschluß!$O$6,FALSE) &amp; " (" &amp; ROUNDUP(C34/1000*2.99,2) &amp; " " &amp; VLOOKUP("kg/Stk",Sprachindex!$A:$Z,Haftungsausschluß!$O$6,FALSE) &amp; ")" &amp; IF('Kalkulation 1'!AH33," " &amp; H3,"")</f>
        <v>Dammbalken 25/200 exkl. Dichtung, gesägt und entgratet (0 kg/Stk)</v>
      </c>
      <c r="H34" s="989"/>
      <c r="I34" s="989"/>
      <c r="J34" s="989"/>
      <c r="K34" s="989"/>
      <c r="L34" s="989"/>
      <c r="M34" s="990"/>
      <c r="N34" s="519"/>
      <c r="O34" s="518">
        <f t="shared" si="2"/>
        <v>0</v>
      </c>
      <c r="Q34" s="327"/>
      <c r="R34" s="610">
        <f t="shared" si="0"/>
        <v>0</v>
      </c>
      <c r="S34" s="310"/>
      <c r="T34" s="310"/>
      <c r="U34" s="310"/>
      <c r="V34" s="310"/>
      <c r="W34" s="311"/>
      <c r="X34" s="311"/>
      <c r="Y34" s="311"/>
      <c r="Z34" s="311"/>
      <c r="AA34" s="310"/>
      <c r="AB34" s="413"/>
      <c r="AC34" s="413"/>
      <c r="AD34" s="413"/>
      <c r="AE34" s="413"/>
      <c r="AF34" s="413"/>
      <c r="AG34" s="413"/>
      <c r="AH34" s="413"/>
      <c r="AI34" s="413"/>
    </row>
    <row r="35" spans="2:35" ht="30.75" customHeight="1">
      <c r="B35" s="520"/>
      <c r="C35" s="521"/>
      <c r="D35" s="523">
        <f t="shared" si="1"/>
        <v>0</v>
      </c>
      <c r="E35" s="318" t="str">
        <f>VLOOKUP("[m]",Sprachindex!$A:$Z,Haftungsausschluß!$O$6,FALSE)</f>
        <v>[m]</v>
      </c>
      <c r="F35" s="318" t="str">
        <f>IF($L$14=1,Preisliste!$E$7,Preisliste!$F$7)</f>
        <v>H251000</v>
      </c>
      <c r="G35" s="988" t="str">
        <f>VLOOKUP("Dammbalken 25/200 exkl. Dichtung, gesägt und entgratet",Sprachindex!$A:$Z,Haftungsausschluß!$O$6,FALSE) &amp; " (" &amp; ROUNDUP(C35/1000*2.99,2) &amp; " " &amp; VLOOKUP("kg/Stk",Sprachindex!$A:$Z,Haftungsausschluß!$O$6,FALSE) &amp; ")" &amp; IF('Kalkulation 1'!AH33," " &amp; H3,"")</f>
        <v>Dammbalken 25/200 exkl. Dichtung, gesägt und entgratet (0 kg/Stk)</v>
      </c>
      <c r="H35" s="989"/>
      <c r="I35" s="989"/>
      <c r="J35" s="989"/>
      <c r="K35" s="989"/>
      <c r="L35" s="989"/>
      <c r="M35" s="990"/>
      <c r="N35" s="519"/>
      <c r="O35" s="518">
        <f t="shared" si="2"/>
        <v>0</v>
      </c>
      <c r="Q35" s="327"/>
      <c r="R35" s="610">
        <f t="shared" si="0"/>
        <v>0</v>
      </c>
      <c r="S35" s="310"/>
      <c r="T35" s="310"/>
      <c r="U35" s="310"/>
      <c r="V35" s="310"/>
      <c r="W35" s="310"/>
      <c r="X35" s="310"/>
      <c r="Y35" s="310"/>
      <c r="Z35" s="310"/>
      <c r="AA35" s="310"/>
      <c r="AB35" s="310"/>
      <c r="AC35" s="310"/>
      <c r="AD35" s="310"/>
      <c r="AE35" s="310"/>
      <c r="AF35" s="310"/>
      <c r="AG35" s="310"/>
      <c r="AH35" s="310"/>
      <c r="AI35" s="310"/>
    </row>
    <row r="36" spans="2:35" ht="30.75" customHeight="1">
      <c r="B36" s="520"/>
      <c r="C36" s="521"/>
      <c r="D36" s="523">
        <f t="shared" si="1"/>
        <v>0</v>
      </c>
      <c r="E36" s="318" t="str">
        <f>VLOOKUP("[m]",Sprachindex!$A:$Z,Haftungsausschluß!$O$6,FALSE)</f>
        <v>[m]</v>
      </c>
      <c r="F36" s="318" t="str">
        <f>IF($L$14=1,Preisliste!$E$10,Preisliste!$F$10)</f>
        <v>H501000</v>
      </c>
      <c r="G36" s="988" t="str">
        <f>VLOOKUP("Dammbalken 50/150 exkl. Dichtung, gesägt und entgratet",Sprachindex!$A:$Z,Haftungsausschluß!$O$6,FALSE) &amp; " (" &amp; ROUNDUP(C36/1000*5.62,2) &amp; " " &amp; VLOOKUP("kg/Stk",Sprachindex!$A:$Z,Haftungsausschluß!$O$6,FALSE) &amp; ")" &amp; IF('Kalkulation 1'!AH33," " &amp; H3,"")</f>
        <v>Dammbalken 50/150 exkl. Dichtung, gesägt und entgratet (0 kg/Stk)</v>
      </c>
      <c r="H36" s="989"/>
      <c r="I36" s="989"/>
      <c r="J36" s="989"/>
      <c r="K36" s="989"/>
      <c r="L36" s="989"/>
      <c r="M36" s="990"/>
      <c r="N36" s="519"/>
      <c r="O36" s="518">
        <f t="shared" ref="O36" si="3">N36*D36</f>
        <v>0</v>
      </c>
      <c r="Q36" s="327"/>
      <c r="R36" s="610">
        <f t="shared" si="0"/>
        <v>0</v>
      </c>
      <c r="S36" s="310"/>
      <c r="T36" s="310"/>
      <c r="U36" s="310"/>
      <c r="V36" s="310"/>
      <c r="W36" s="310"/>
      <c r="X36" s="104"/>
      <c r="Y36" s="104"/>
      <c r="Z36" s="104"/>
      <c r="AA36" s="310"/>
      <c r="AB36" s="310"/>
      <c r="AC36" s="310"/>
      <c r="AD36" s="310"/>
      <c r="AE36" s="310"/>
      <c r="AF36" s="310"/>
      <c r="AG36" s="310"/>
      <c r="AH36" s="310"/>
      <c r="AI36" s="310"/>
    </row>
    <row r="37" spans="2:35" ht="30.75" customHeight="1">
      <c r="B37" s="520"/>
      <c r="C37" s="521"/>
      <c r="D37" s="523">
        <f t="shared" si="1"/>
        <v>0</v>
      </c>
      <c r="E37" s="318" t="str">
        <f>VLOOKUP("[m]",Sprachindex!$A:$Z,Haftungsausschluß!$O$6,FALSE)</f>
        <v>[m]</v>
      </c>
      <c r="F37" s="318" t="str">
        <f>IF($L$14=1,Preisliste!$E$10,Preisliste!$F$10)</f>
        <v>H501000</v>
      </c>
      <c r="G37" s="988" t="str">
        <f>VLOOKUP("Dammbalken 50/150 exkl. Dichtung, gesägt und entgratet",Sprachindex!$A:$Z,Haftungsausschluß!$O$6,FALSE) &amp; " (" &amp; ROUNDUP(C37/1000*5.62,2) &amp; " " &amp; VLOOKUP("kg/Stk",Sprachindex!$A:$Z,Haftungsausschluß!$O$6,FALSE) &amp; ")" &amp; IF('Kalkulation 1'!AH33," " &amp; H3,"")</f>
        <v>Dammbalken 50/150 exkl. Dichtung, gesägt und entgratet (0 kg/Stk)</v>
      </c>
      <c r="H37" s="989"/>
      <c r="I37" s="989"/>
      <c r="J37" s="989"/>
      <c r="K37" s="989"/>
      <c r="L37" s="989"/>
      <c r="M37" s="990"/>
      <c r="N37" s="519"/>
      <c r="O37" s="518">
        <f t="shared" ref="O37:O56" si="4">N37*D37</f>
        <v>0</v>
      </c>
      <c r="Q37" s="327"/>
      <c r="R37" s="610">
        <f t="shared" si="0"/>
        <v>0</v>
      </c>
      <c r="S37" s="310"/>
      <c r="T37" s="310"/>
      <c r="U37" s="310"/>
      <c r="V37" s="310"/>
      <c r="W37" s="310"/>
      <c r="X37" s="104"/>
      <c r="Y37" s="104"/>
      <c r="Z37" s="104"/>
      <c r="AA37" s="310"/>
      <c r="AB37" s="310"/>
      <c r="AC37" s="104"/>
      <c r="AD37" s="104"/>
      <c r="AE37" s="104"/>
      <c r="AF37" s="310"/>
      <c r="AG37" s="310"/>
      <c r="AH37" s="104"/>
      <c r="AI37" s="104"/>
    </row>
    <row r="38" spans="2:35" ht="30.75" customHeight="1">
      <c r="B38" s="520"/>
      <c r="C38" s="521"/>
      <c r="D38" s="523">
        <f t="shared" si="1"/>
        <v>0</v>
      </c>
      <c r="E38" s="318" t="str">
        <f>VLOOKUP("[m]",Sprachindex!$A:$Z,Haftungsausschluß!$O$6,FALSE)</f>
        <v>[m]</v>
      </c>
      <c r="F38" s="318" t="str">
        <f>IF($L$14=1,Preisliste!$E$10,Preisliste!$F$10)</f>
        <v>H501000</v>
      </c>
      <c r="G38" s="988" t="str">
        <f>VLOOKUP("Dammbalken 50/150 exkl. Dichtung, gesägt und entgratet",Sprachindex!$A:$Z,Haftungsausschluß!$O$6,FALSE) &amp; " (" &amp; ROUNDUP(C38/1000*5.62,2) &amp; " " &amp; VLOOKUP("kg/Stk",Sprachindex!$A:$Z,Haftungsausschluß!$O$6,FALSE) &amp; ")" &amp; IF('Kalkulation 1'!AH33," " &amp; H3,"")</f>
        <v>Dammbalken 50/150 exkl. Dichtung, gesägt und entgratet (0 kg/Stk)</v>
      </c>
      <c r="H38" s="989"/>
      <c r="I38" s="989"/>
      <c r="J38" s="989"/>
      <c r="K38" s="989"/>
      <c r="L38" s="989"/>
      <c r="M38" s="990"/>
      <c r="N38" s="519"/>
      <c r="O38" s="518">
        <f t="shared" si="4"/>
        <v>0</v>
      </c>
      <c r="Q38" s="327"/>
      <c r="R38" s="610">
        <f t="shared" si="0"/>
        <v>0</v>
      </c>
      <c r="S38" s="310"/>
      <c r="T38" s="310"/>
      <c r="U38" s="310"/>
      <c r="V38" s="310"/>
      <c r="W38" s="310"/>
      <c r="X38" s="319"/>
      <c r="Y38" s="320"/>
      <c r="Z38" s="104"/>
      <c r="AA38" s="310"/>
      <c r="AB38" s="310"/>
      <c r="AC38" s="319"/>
      <c r="AD38" s="320"/>
      <c r="AE38" s="104"/>
      <c r="AF38" s="310"/>
      <c r="AG38" s="310"/>
      <c r="AH38" s="319"/>
      <c r="AI38" s="320"/>
    </row>
    <row r="39" spans="2:35" ht="30.75" customHeight="1">
      <c r="B39" s="520"/>
      <c r="C39" s="521"/>
      <c r="D39" s="523">
        <f t="shared" si="1"/>
        <v>0</v>
      </c>
      <c r="E39" s="318" t="str">
        <f>VLOOKUP("[m]",Sprachindex!$A:$Z,Haftungsausschluß!$O$6,FALSE)</f>
        <v>[m]</v>
      </c>
      <c r="F39" s="318" t="str">
        <f>IF($L$14=1,Preisliste!$E$10,Preisliste!$F$10)</f>
        <v>H501000</v>
      </c>
      <c r="G39" s="988" t="str">
        <f>VLOOKUP("Dammbalken 50/150 exkl. Dichtung, gesägt und entgratet",Sprachindex!$A:$Z,Haftungsausschluß!$O$6,FALSE) &amp; " (" &amp; ROUNDUP(C39/1000*5.62,2) &amp; " " &amp; VLOOKUP("kg/Stk",Sprachindex!$A:$Z,Haftungsausschluß!$O$6,FALSE) &amp; ")" &amp; IF('Kalkulation 1'!AH33," " &amp; H3,"")</f>
        <v>Dammbalken 50/150 exkl. Dichtung, gesägt und entgratet (0 kg/Stk)</v>
      </c>
      <c r="H39" s="989"/>
      <c r="I39" s="989"/>
      <c r="J39" s="989"/>
      <c r="K39" s="989"/>
      <c r="L39" s="989"/>
      <c r="M39" s="990"/>
      <c r="N39" s="519"/>
      <c r="O39" s="518">
        <f t="shared" si="4"/>
        <v>0</v>
      </c>
      <c r="Q39" s="327"/>
      <c r="R39" s="610">
        <f t="shared" si="0"/>
        <v>0</v>
      </c>
      <c r="S39" s="310"/>
      <c r="T39" s="310"/>
      <c r="U39" s="310"/>
      <c r="V39" s="310"/>
      <c r="W39" s="310"/>
      <c r="X39"/>
      <c r="Y39"/>
      <c r="Z39" s="104"/>
      <c r="AA39" s="310"/>
      <c r="AB39" s="310"/>
      <c r="AC39" s="104"/>
      <c r="AD39" s="104"/>
      <c r="AE39" s="104"/>
      <c r="AF39" s="310"/>
      <c r="AG39" s="310"/>
      <c r="AH39"/>
      <c r="AI39"/>
    </row>
    <row r="40" spans="2:35" ht="30.75" customHeight="1">
      <c r="B40" s="520"/>
      <c r="C40" s="521"/>
      <c r="D40" s="523">
        <f t="shared" si="1"/>
        <v>0</v>
      </c>
      <c r="E40" s="318" t="str">
        <f>VLOOKUP("[m]",Sprachindex!$A:$Z,Haftungsausschluß!$O$6,FALSE)</f>
        <v>[m]</v>
      </c>
      <c r="F40" s="318" t="str">
        <f>IF($L$14=1,Preisliste!$E$10,Preisliste!$F$10)</f>
        <v>H501000</v>
      </c>
      <c r="G40" s="988" t="str">
        <f>VLOOKUP("Dammbalken 50/150 exkl. Dichtung, gesägt und entgratet",Sprachindex!$A:$Z,Haftungsausschluß!$O$6,FALSE) &amp; " (" &amp; ROUNDUP(C40/1000*5.62,2) &amp; " " &amp; VLOOKUP("kg/Stk",Sprachindex!$A:$Z,Haftungsausschluß!$O$6,FALSE) &amp; ")" &amp; IF('Kalkulation 1'!AH33," " &amp; H3,"")</f>
        <v>Dammbalken 50/150 exkl. Dichtung, gesägt und entgratet (0 kg/Stk)</v>
      </c>
      <c r="H40" s="989"/>
      <c r="I40" s="989"/>
      <c r="J40" s="989"/>
      <c r="K40" s="989"/>
      <c r="L40" s="989"/>
      <c r="M40" s="990"/>
      <c r="N40" s="519"/>
      <c r="O40" s="518">
        <f t="shared" si="4"/>
        <v>0</v>
      </c>
      <c r="Q40" s="327"/>
      <c r="R40" s="610">
        <f t="shared" si="0"/>
        <v>0</v>
      </c>
      <c r="S40" s="310"/>
      <c r="T40" s="310"/>
      <c r="U40" s="310"/>
      <c r="V40" s="310"/>
      <c r="W40" s="310"/>
      <c r="X40" s="104"/>
      <c r="Y40" s="104"/>
      <c r="Z40" s="104"/>
      <c r="AA40" s="310"/>
      <c r="AB40" s="310"/>
      <c r="AC40" s="104"/>
      <c r="AD40" s="104"/>
      <c r="AE40" s="104"/>
      <c r="AF40" s="310"/>
      <c r="AG40" s="310"/>
      <c r="AH40"/>
      <c r="AI40"/>
    </row>
    <row r="41" spans="2:35" ht="30.75" customHeight="1">
      <c r="B41" s="520"/>
      <c r="C41" s="521"/>
      <c r="D41" s="523">
        <f t="shared" si="1"/>
        <v>0</v>
      </c>
      <c r="E41" s="318" t="str">
        <f>VLOOKUP("[m]",Sprachindex!$A:$Z,Haftungsausschluß!$O$6,FALSE)</f>
        <v>[m]</v>
      </c>
      <c r="F41" s="318" t="str">
        <f>IF($L$14=1,Preisliste!$E$10,Preisliste!$F$10)</f>
        <v>H501000</v>
      </c>
      <c r="G41" s="988" t="str">
        <f>VLOOKUP("Dammbalken 50/150 exkl. Dichtung, gesägt und entgratet",Sprachindex!$A:$Z,Haftungsausschluß!$O$6,FALSE) &amp; " (" &amp; ROUNDUP(C41/1000*5.62,2) &amp; " " &amp; VLOOKUP("kg/Stk",Sprachindex!$A:$Z,Haftungsausschluß!$O$6,FALSE) &amp; ")" &amp; IF('Kalkulation 1'!AH33," " &amp; H3,"")</f>
        <v>Dammbalken 50/150 exkl. Dichtung, gesägt und entgratet (0 kg/Stk)</v>
      </c>
      <c r="H41" s="989"/>
      <c r="I41" s="989"/>
      <c r="J41" s="989"/>
      <c r="K41" s="989"/>
      <c r="L41" s="989"/>
      <c r="M41" s="990"/>
      <c r="N41" s="519"/>
      <c r="O41" s="518">
        <f t="shared" si="4"/>
        <v>0</v>
      </c>
      <c r="Q41" s="327"/>
      <c r="R41" s="610">
        <f t="shared" si="0"/>
        <v>0</v>
      </c>
      <c r="S41" s="310"/>
      <c r="T41" s="310"/>
      <c r="U41" s="310"/>
      <c r="V41" s="310"/>
      <c r="W41" s="310"/>
      <c r="X41" s="104"/>
      <c r="Y41" s="104"/>
      <c r="Z41" s="104"/>
      <c r="AA41" s="310"/>
      <c r="AB41" s="310"/>
      <c r="AC41" s="104"/>
      <c r="AD41" s="104"/>
      <c r="AE41" s="104"/>
      <c r="AF41" s="310"/>
      <c r="AG41" s="310"/>
      <c r="AH41"/>
      <c r="AI41"/>
    </row>
    <row r="42" spans="2:35" ht="30.75" customHeight="1">
      <c r="B42" s="520"/>
      <c r="C42" s="521"/>
      <c r="D42" s="523">
        <f t="shared" si="1"/>
        <v>0</v>
      </c>
      <c r="E42" s="318" t="str">
        <f>VLOOKUP("[m]",Sprachindex!$A:$Z,Haftungsausschluß!$O$6,FALSE)</f>
        <v>[m]</v>
      </c>
      <c r="F42" s="318" t="str">
        <f>IF($L$14=1,Preisliste!$E$10,Preisliste!$F$10)</f>
        <v>H501000</v>
      </c>
      <c r="G42" s="988" t="str">
        <f>VLOOKUP("Dammbalken 50/150 exkl. Dichtung, gesägt und entgratet",Sprachindex!$A:$Z,Haftungsausschluß!$O$6,FALSE) &amp; " (" &amp; ROUNDUP(C42/1000*5.62,2) &amp; " " &amp; VLOOKUP("kg/Stk",Sprachindex!$A:$Z,Haftungsausschluß!$O$6,FALSE) &amp; ")" &amp; IF('Kalkulation 1'!AH33," " &amp; H3,"")</f>
        <v>Dammbalken 50/150 exkl. Dichtung, gesägt und entgratet (0 kg/Stk)</v>
      </c>
      <c r="H42" s="989"/>
      <c r="I42" s="989"/>
      <c r="J42" s="989"/>
      <c r="K42" s="989"/>
      <c r="L42" s="989"/>
      <c r="M42" s="990"/>
      <c r="N42" s="519"/>
      <c r="O42" s="518">
        <f t="shared" si="4"/>
        <v>0</v>
      </c>
      <c r="Q42" s="327"/>
      <c r="R42" s="610">
        <f t="shared" si="0"/>
        <v>0</v>
      </c>
      <c r="S42" s="310"/>
      <c r="T42" s="310"/>
      <c r="U42" s="310"/>
      <c r="V42" s="310"/>
      <c r="W42" s="310"/>
      <c r="X42" s="104"/>
      <c r="Y42" s="104"/>
      <c r="Z42" s="104"/>
      <c r="AA42" s="310"/>
      <c r="AB42" s="310"/>
      <c r="AC42" s="104"/>
      <c r="AD42" s="104"/>
      <c r="AE42" s="104"/>
      <c r="AF42" s="310"/>
      <c r="AG42" s="310"/>
      <c r="AH42"/>
      <c r="AI42"/>
    </row>
    <row r="43" spans="2:35" ht="30.75" customHeight="1">
      <c r="B43" s="520"/>
      <c r="C43" s="521"/>
      <c r="D43" s="523">
        <f t="shared" si="1"/>
        <v>0</v>
      </c>
      <c r="E43" s="318" t="str">
        <f>VLOOKUP("[m]",Sprachindex!$A:$Z,Haftungsausschluß!$O$6,FALSE)</f>
        <v>[m]</v>
      </c>
      <c r="F43" s="318" t="str">
        <f>IF($L$14=1,Preisliste!$E$10,Preisliste!$F$10)</f>
        <v>H501000</v>
      </c>
      <c r="G43" s="988" t="str">
        <f>VLOOKUP("Dammbalken 50/150 exkl. Dichtung, gesägt und entgratet",Sprachindex!$A:$Z,Haftungsausschluß!$O$6,FALSE) &amp; " (" &amp; ROUNDUP(C43/1000*5.62,2) &amp; " " &amp; VLOOKUP("kg/Stk",Sprachindex!$A:$Z,Haftungsausschluß!$O$6,FALSE) &amp; ")" &amp; IF('Kalkulation 1'!AH33," " &amp; H3,"")</f>
        <v>Dammbalken 50/150 exkl. Dichtung, gesägt und entgratet (0 kg/Stk)</v>
      </c>
      <c r="H43" s="989"/>
      <c r="I43" s="989"/>
      <c r="J43" s="989"/>
      <c r="K43" s="989"/>
      <c r="L43" s="989"/>
      <c r="M43" s="990"/>
      <c r="N43" s="519"/>
      <c r="O43" s="518">
        <f t="shared" si="4"/>
        <v>0</v>
      </c>
      <c r="Q43" s="327"/>
      <c r="R43" s="610">
        <f t="shared" si="0"/>
        <v>0</v>
      </c>
      <c r="S43" s="310"/>
      <c r="T43" s="310"/>
      <c r="U43" s="310"/>
      <c r="V43" s="310"/>
      <c r="W43" s="310"/>
      <c r="X43" s="104"/>
      <c r="Y43" s="104"/>
      <c r="Z43" s="104"/>
      <c r="AA43" s="310"/>
      <c r="AB43" s="310"/>
      <c r="AC43" s="104"/>
      <c r="AD43" s="104"/>
      <c r="AE43" s="104"/>
      <c r="AF43" s="310"/>
      <c r="AG43" s="310"/>
      <c r="AH43"/>
      <c r="AI43"/>
    </row>
    <row r="44" spans="2:35" ht="30.75" customHeight="1">
      <c r="B44" s="520"/>
      <c r="C44" s="521"/>
      <c r="D44" s="523">
        <f t="shared" si="1"/>
        <v>0</v>
      </c>
      <c r="E44" s="318" t="str">
        <f>VLOOKUP("[m]",Sprachindex!$A:$Z,Haftungsausschluß!$O$6,FALSE)</f>
        <v>[m]</v>
      </c>
      <c r="F44" s="318" t="str">
        <f>IF($L$14=1,Preisliste!$E$10,Preisliste!$F$10)</f>
        <v>H501000</v>
      </c>
      <c r="G44" s="988" t="str">
        <f>VLOOKUP("Dammbalken 50/150 exkl. Dichtung, gesägt und entgratet",Sprachindex!$A:$Z,Haftungsausschluß!$O$6,FALSE) &amp; " (" &amp; ROUNDUP(C44/1000*5.62,2) &amp; " " &amp; VLOOKUP("kg/Stk",Sprachindex!$A:$Z,Haftungsausschluß!$O$6,FALSE) &amp; ")" &amp; IF('Kalkulation 1'!AH33," " &amp; H3,"")</f>
        <v>Dammbalken 50/150 exkl. Dichtung, gesägt und entgratet (0 kg/Stk)</v>
      </c>
      <c r="H44" s="989"/>
      <c r="I44" s="989"/>
      <c r="J44" s="989"/>
      <c r="K44" s="989"/>
      <c r="L44" s="989"/>
      <c r="M44" s="990"/>
      <c r="N44" s="519"/>
      <c r="O44" s="518">
        <f t="shared" si="4"/>
        <v>0</v>
      </c>
      <c r="Q44" s="327"/>
      <c r="R44" s="610">
        <f t="shared" si="0"/>
        <v>0</v>
      </c>
      <c r="S44" s="310"/>
      <c r="T44" s="310"/>
      <c r="U44" s="310"/>
      <c r="V44" s="310"/>
      <c r="W44" s="310"/>
      <c r="X44" s="104"/>
      <c r="Y44" s="104"/>
      <c r="Z44" s="104"/>
      <c r="AA44" s="310"/>
      <c r="AB44" s="310"/>
      <c r="AC44" s="104"/>
      <c r="AD44" s="104"/>
      <c r="AE44" s="104"/>
      <c r="AF44" s="310"/>
      <c r="AG44" s="310"/>
      <c r="AH44"/>
      <c r="AI44"/>
    </row>
    <row r="45" spans="2:35" ht="30.75" customHeight="1">
      <c r="B45" s="520"/>
      <c r="C45" s="521"/>
      <c r="D45" s="523">
        <f t="shared" si="1"/>
        <v>0</v>
      </c>
      <c r="E45" s="318" t="str">
        <f>VLOOKUP("[m]",Sprachindex!$A:$Z,Haftungsausschluß!$O$6,FALSE)</f>
        <v>[m]</v>
      </c>
      <c r="F45" s="318" t="str">
        <f>IF($L$14=1,Preisliste!$E$10,Preisliste!$F$10)</f>
        <v>H501000</v>
      </c>
      <c r="G45" s="988" t="str">
        <f>VLOOKUP("Dammbalken 50/150 exkl. Dichtung, gesägt und entgratet",Sprachindex!$A:$Z,Haftungsausschluß!$O$6,FALSE) &amp; " (" &amp; ROUNDUP(C45/1000*5.62,2) &amp; " " &amp; VLOOKUP("kg/Stk",Sprachindex!$A:$Z,Haftungsausschluß!$O$6,FALSE) &amp; ")" &amp; IF('Kalkulation 1'!AH33," " &amp; H3,"")</f>
        <v>Dammbalken 50/150 exkl. Dichtung, gesägt und entgratet (0 kg/Stk)</v>
      </c>
      <c r="H45" s="989"/>
      <c r="I45" s="989"/>
      <c r="J45" s="989"/>
      <c r="K45" s="989"/>
      <c r="L45" s="989"/>
      <c r="M45" s="990"/>
      <c r="N45" s="519"/>
      <c r="O45" s="518">
        <f t="shared" si="4"/>
        <v>0</v>
      </c>
      <c r="Q45" s="327"/>
      <c r="R45" s="610">
        <f t="shared" si="0"/>
        <v>0</v>
      </c>
      <c r="S45" s="310"/>
      <c r="T45" s="310"/>
      <c r="U45" s="310"/>
      <c r="V45" s="310"/>
      <c r="W45" s="310"/>
      <c r="X45" s="104"/>
      <c r="Y45" s="104"/>
      <c r="Z45" s="104"/>
      <c r="AA45" s="310"/>
      <c r="AB45" s="310"/>
      <c r="AC45" s="104"/>
      <c r="AD45" s="104"/>
      <c r="AE45" s="104"/>
      <c r="AF45" s="310"/>
      <c r="AG45" s="310"/>
      <c r="AH45"/>
      <c r="AI45"/>
    </row>
    <row r="46" spans="2:35" ht="30.75" customHeight="1">
      <c r="B46" s="520"/>
      <c r="C46" s="521"/>
      <c r="D46" s="523">
        <f t="shared" si="1"/>
        <v>0</v>
      </c>
      <c r="E46" s="318" t="str">
        <f>VLOOKUP("[m]",Sprachindex!$A:$Z,Haftungsausschluß!$O$6,FALSE)</f>
        <v>[m]</v>
      </c>
      <c r="F46" s="318" t="str">
        <f>IF($L$14=1,Preisliste!$E$10,Preisliste!$F$10)</f>
        <v>H501000</v>
      </c>
      <c r="G46" s="988" t="str">
        <f>VLOOKUP("Dammbalken 50/150 exkl. Dichtung, gesägt und entgratet",Sprachindex!$A:$Z,Haftungsausschluß!$O$6,FALSE) &amp; " (" &amp; ROUNDUP(C46/1000*5.62,2) &amp; " " &amp; VLOOKUP("kg/Stk",Sprachindex!$A:$Z,Haftungsausschluß!$O$6,FALSE) &amp; ")" &amp; IF('Kalkulation 1'!AH33," " &amp; H3,"")</f>
        <v>Dammbalken 50/150 exkl. Dichtung, gesägt und entgratet (0 kg/Stk)</v>
      </c>
      <c r="H46" s="989"/>
      <c r="I46" s="989"/>
      <c r="J46" s="989"/>
      <c r="K46" s="989"/>
      <c r="L46" s="989"/>
      <c r="M46" s="990"/>
      <c r="N46" s="519"/>
      <c r="O46" s="518">
        <f t="shared" si="4"/>
        <v>0</v>
      </c>
      <c r="Q46" s="327"/>
      <c r="R46" s="610">
        <f t="shared" si="0"/>
        <v>0</v>
      </c>
      <c r="S46" s="310"/>
      <c r="T46" s="310"/>
      <c r="U46" s="310"/>
      <c r="V46" s="310"/>
      <c r="W46" s="310"/>
      <c r="X46" s="104"/>
      <c r="Y46" s="104"/>
      <c r="Z46" s="104"/>
      <c r="AA46" s="310"/>
      <c r="AB46" s="310"/>
      <c r="AC46" s="104"/>
      <c r="AD46" s="104"/>
      <c r="AE46" s="104"/>
      <c r="AF46" s="310"/>
      <c r="AG46" s="310"/>
      <c r="AH46" s="104"/>
      <c r="AI46" s="104"/>
    </row>
    <row r="47" spans="2:35" ht="30.75" customHeight="1">
      <c r="B47" s="520"/>
      <c r="C47" s="521"/>
      <c r="D47" s="523">
        <f t="shared" si="1"/>
        <v>0</v>
      </c>
      <c r="E47" s="318" t="str">
        <f>VLOOKUP("[m]",Sprachindex!$A:$Z,Haftungsausschluß!$O$6,FALSE)</f>
        <v>[m]</v>
      </c>
      <c r="F47" s="318" t="str">
        <f>IF($L$14=1,Preisliste!$E$10,Preisliste!$F$10)</f>
        <v>H501000</v>
      </c>
      <c r="G47" s="988" t="str">
        <f>VLOOKUP("Dammbalken 50/150 exkl. Dichtung, gesägt und entgratet",Sprachindex!$A:$Z,Haftungsausschluß!$O$6,FALSE) &amp; " (" &amp; ROUNDUP(C47/1000*5.62,2) &amp; " " &amp; VLOOKUP("kg/Stk",Sprachindex!$A:$Z,Haftungsausschluß!$O$6,FALSE) &amp; ")" &amp; IF('Kalkulation 1'!AH33," " &amp; H3,"")</f>
        <v>Dammbalken 50/150 exkl. Dichtung, gesägt und entgratet (0 kg/Stk)</v>
      </c>
      <c r="H47" s="989"/>
      <c r="I47" s="989"/>
      <c r="J47" s="989"/>
      <c r="K47" s="989"/>
      <c r="L47" s="989"/>
      <c r="M47" s="990"/>
      <c r="N47" s="519"/>
      <c r="O47" s="518">
        <f t="shared" si="4"/>
        <v>0</v>
      </c>
      <c r="Q47" s="327"/>
      <c r="R47" s="610">
        <f t="shared" si="0"/>
        <v>0</v>
      </c>
      <c r="S47" s="310"/>
      <c r="T47" s="310"/>
      <c r="U47" s="310"/>
      <c r="V47" s="310"/>
      <c r="W47" s="310"/>
      <c r="X47" s="104"/>
      <c r="Y47" s="104"/>
      <c r="Z47" s="104"/>
      <c r="AA47" s="310"/>
      <c r="AB47" s="310"/>
      <c r="AC47" s="104"/>
      <c r="AD47" s="104"/>
      <c r="AE47" s="104"/>
      <c r="AF47" s="310"/>
      <c r="AG47" s="310"/>
      <c r="AH47" s="104"/>
      <c r="AI47" s="104"/>
    </row>
    <row r="48" spans="2:35" ht="30.75" customHeight="1">
      <c r="B48" s="520"/>
      <c r="C48" s="521"/>
      <c r="D48" s="523">
        <f t="shared" si="1"/>
        <v>0</v>
      </c>
      <c r="E48" s="318" t="str">
        <f>VLOOKUP("[m]",Sprachindex!$A:$Z,Haftungsausschluß!$O$6,FALSE)</f>
        <v>[m]</v>
      </c>
      <c r="F48" s="318" t="str">
        <f>IF($L$14=1,Preisliste!$E$10,Preisliste!$F$10)</f>
        <v>H501000</v>
      </c>
      <c r="G48" s="988" t="str">
        <f>VLOOKUP("Dammbalken 50/150 exkl. Dichtung, gesägt und entgratet",Sprachindex!$A:$Z,Haftungsausschluß!$O$6,FALSE) &amp; " (" &amp; ROUNDUP(C48/1000*5.62,2) &amp; " " &amp; VLOOKUP("kg/Stk",Sprachindex!$A:$Z,Haftungsausschluß!$O$6,FALSE) &amp; ")" &amp; IF('Kalkulation 1'!AH33," " &amp; H3,"")</f>
        <v>Dammbalken 50/150 exkl. Dichtung, gesägt und entgratet (0 kg/Stk)</v>
      </c>
      <c r="H48" s="989"/>
      <c r="I48" s="989"/>
      <c r="J48" s="989"/>
      <c r="K48" s="989"/>
      <c r="L48" s="989"/>
      <c r="M48" s="990"/>
      <c r="N48" s="519"/>
      <c r="O48" s="518">
        <f t="shared" si="4"/>
        <v>0</v>
      </c>
      <c r="Q48" s="327"/>
      <c r="R48" s="610">
        <f t="shared" si="0"/>
        <v>0</v>
      </c>
      <c r="S48" s="310"/>
      <c r="T48" s="310"/>
      <c r="U48" s="310"/>
      <c r="V48" s="310"/>
      <c r="W48" s="310"/>
      <c r="X48" s="104"/>
      <c r="Y48" s="104"/>
      <c r="Z48" s="104"/>
      <c r="AA48" s="310"/>
      <c r="AB48" s="310"/>
      <c r="AC48" s="104"/>
      <c r="AD48" s="104"/>
      <c r="AE48" s="104"/>
      <c r="AF48" s="310"/>
      <c r="AG48" s="310"/>
      <c r="AH48" s="104"/>
      <c r="AI48" s="104"/>
    </row>
    <row r="49" spans="1:35" ht="30.75" customHeight="1">
      <c r="B49" s="520"/>
      <c r="C49" s="521"/>
      <c r="D49" s="523">
        <f t="shared" si="1"/>
        <v>0</v>
      </c>
      <c r="E49" s="318" t="str">
        <f>VLOOKUP("[m]",Sprachindex!$A:$Z,Haftungsausschluß!$O$6,FALSE)</f>
        <v>[m]</v>
      </c>
      <c r="F49" s="318" t="str">
        <f>IF($L$14=1,Preisliste!$E$10,Preisliste!$F$10)</f>
        <v>H501000</v>
      </c>
      <c r="G49" s="988" t="str">
        <f>VLOOKUP("Dammbalken 50/150 exkl. Dichtung, gesägt und entgratet",Sprachindex!$A:$Z,Haftungsausschluß!$O$6,FALSE) &amp; " (" &amp; ROUNDUP(C49/1000*5.62,2) &amp; " " &amp; VLOOKUP("kg/Stk",Sprachindex!$A:$Z,Haftungsausschluß!$O$6,FALSE) &amp; ")" &amp; IF('Kalkulation 1'!AH33," " &amp; H3,"")</f>
        <v>Dammbalken 50/150 exkl. Dichtung, gesägt und entgratet (0 kg/Stk)</v>
      </c>
      <c r="H49" s="989"/>
      <c r="I49" s="989"/>
      <c r="J49" s="989"/>
      <c r="K49" s="989"/>
      <c r="L49" s="989"/>
      <c r="M49" s="990"/>
      <c r="N49" s="519"/>
      <c r="O49" s="518">
        <f t="shared" si="4"/>
        <v>0</v>
      </c>
      <c r="Q49" s="327"/>
      <c r="R49" s="610">
        <f t="shared" si="0"/>
        <v>0</v>
      </c>
      <c r="S49" s="310"/>
      <c r="T49" s="310"/>
      <c r="U49" s="310"/>
      <c r="V49" s="310"/>
      <c r="W49" s="310"/>
      <c r="X49" s="104"/>
      <c r="Y49" s="104"/>
      <c r="Z49" s="104"/>
      <c r="AA49" s="310"/>
      <c r="AB49" s="310"/>
      <c r="AC49" s="104"/>
      <c r="AD49" s="104"/>
      <c r="AE49" s="104"/>
      <c r="AF49" s="310"/>
      <c r="AG49" s="310"/>
      <c r="AH49" s="104"/>
      <c r="AI49" s="104"/>
    </row>
    <row r="50" spans="1:35" ht="30.75" customHeight="1">
      <c r="B50" s="520"/>
      <c r="C50" s="521"/>
      <c r="D50" s="523">
        <f t="shared" si="1"/>
        <v>0</v>
      </c>
      <c r="E50" s="318" t="str">
        <f>VLOOKUP("[m]",Sprachindex!$A:$Z,Haftungsausschluß!$O$6,FALSE)</f>
        <v>[m]</v>
      </c>
      <c r="F50" s="318" t="str">
        <f>IF($L$14=1,Preisliste!$E$10,Preisliste!$F$10)</f>
        <v>H501000</v>
      </c>
      <c r="G50" s="988" t="str">
        <f>VLOOKUP("Dammbalken 50/150 exkl. Dichtung, gesägt und entgratet",Sprachindex!$A:$Z,Haftungsausschluß!$O$6,FALSE) &amp; " (" &amp; ROUNDUP(C50/1000*5.62,2) &amp; " " &amp; VLOOKUP("kg/Stk",Sprachindex!$A:$Z,Haftungsausschluß!$O$6,FALSE) &amp; ")" &amp; IF('Kalkulation 1'!AH33," " &amp; H3,"")</f>
        <v>Dammbalken 50/150 exkl. Dichtung, gesägt und entgratet (0 kg/Stk)</v>
      </c>
      <c r="H50" s="989"/>
      <c r="I50" s="989"/>
      <c r="J50" s="989"/>
      <c r="K50" s="989"/>
      <c r="L50" s="989"/>
      <c r="M50" s="990"/>
      <c r="N50" s="519"/>
      <c r="O50" s="518">
        <f t="shared" si="4"/>
        <v>0</v>
      </c>
      <c r="Q50" s="327"/>
      <c r="R50" s="610">
        <f t="shared" si="0"/>
        <v>0</v>
      </c>
      <c r="S50" s="310"/>
      <c r="T50" s="310"/>
      <c r="U50" s="310"/>
      <c r="V50" s="310"/>
      <c r="W50" s="310"/>
      <c r="X50" s="104"/>
      <c r="Y50" s="104"/>
      <c r="Z50" s="104"/>
      <c r="AA50" s="310"/>
      <c r="AB50" s="310"/>
      <c r="AC50" s="104"/>
      <c r="AD50" s="104"/>
      <c r="AE50" s="104"/>
      <c r="AF50" s="310"/>
      <c r="AG50" s="321"/>
      <c r="AH50" s="322"/>
      <c r="AI50" s="322"/>
    </row>
    <row r="51" spans="1:35" ht="30.75" customHeight="1">
      <c r="B51" s="520"/>
      <c r="C51" s="521"/>
      <c r="D51" s="523">
        <f t="shared" si="1"/>
        <v>0</v>
      </c>
      <c r="E51" s="318" t="str">
        <f>VLOOKUP("[m]",Sprachindex!$A:$Z,Haftungsausschluß!$O$6,FALSE)</f>
        <v>[m]</v>
      </c>
      <c r="F51" s="318" t="str">
        <f>IF($L$14=1,Preisliste!$E$10,Preisliste!$F$10)</f>
        <v>H501000</v>
      </c>
      <c r="G51" s="988" t="str">
        <f>VLOOKUP("Dammbalken 50/150 exkl. Dichtung, gesägt und entgratet",Sprachindex!$A:$Z,Haftungsausschluß!$O$6,FALSE) &amp; " (" &amp; ROUNDUP(C51/1000*5.62,2) &amp; " " &amp; VLOOKUP("kg/Stk",Sprachindex!$A:$Z,Haftungsausschluß!$O$6,FALSE) &amp; ")" &amp; IF('Kalkulation 1'!AH33," " &amp; H3,"")</f>
        <v>Dammbalken 50/150 exkl. Dichtung, gesägt und entgratet (0 kg/Stk)</v>
      </c>
      <c r="H51" s="989"/>
      <c r="I51" s="989"/>
      <c r="J51" s="989"/>
      <c r="K51" s="989"/>
      <c r="L51" s="989"/>
      <c r="M51" s="990"/>
      <c r="N51" s="519"/>
      <c r="O51" s="518">
        <f t="shared" si="4"/>
        <v>0</v>
      </c>
      <c r="Q51" s="327"/>
      <c r="R51" s="610">
        <f t="shared" si="0"/>
        <v>0</v>
      </c>
      <c r="S51" s="310"/>
      <c r="T51" s="310"/>
      <c r="U51" s="310"/>
      <c r="V51" s="310"/>
      <c r="W51" s="310"/>
      <c r="X51" s="104"/>
      <c r="Y51" s="104"/>
      <c r="Z51" s="104"/>
      <c r="AA51" s="310"/>
      <c r="AB51" s="310"/>
      <c r="AC51" s="104"/>
      <c r="AD51" s="104"/>
      <c r="AE51" s="104"/>
      <c r="AF51" s="310"/>
      <c r="AG51" s="321"/>
      <c r="AH51" s="322"/>
      <c r="AI51" s="322"/>
    </row>
    <row r="52" spans="1:35" ht="30.75" customHeight="1">
      <c r="B52" s="520"/>
      <c r="C52" s="521"/>
      <c r="D52" s="523">
        <f t="shared" si="1"/>
        <v>0</v>
      </c>
      <c r="E52" s="318" t="str">
        <f>VLOOKUP("[m]",Sprachindex!$A:$Z,Haftungsausschluß!$O$6,FALSE)</f>
        <v>[m]</v>
      </c>
      <c r="F52" s="318" t="str">
        <f>IF($L$14=1,Preisliste!$E$10,Preisliste!$F$10)</f>
        <v>H501000</v>
      </c>
      <c r="G52" s="988" t="str">
        <f>VLOOKUP("Dammbalken 50/150 exkl. Dichtung, gesägt und entgratet",Sprachindex!$A:$Z,Haftungsausschluß!$O$6,FALSE) &amp; " (" &amp; ROUNDUP(C52/1000*5.62,2) &amp; " " &amp; VLOOKUP("kg/Stk",Sprachindex!$A:$Z,Haftungsausschluß!$O$6,FALSE) &amp; ")" &amp; IF('Kalkulation 1'!AH33," " &amp; H3,"")</f>
        <v>Dammbalken 50/150 exkl. Dichtung, gesägt und entgratet (0 kg/Stk)</v>
      </c>
      <c r="H52" s="989"/>
      <c r="I52" s="989"/>
      <c r="J52" s="989"/>
      <c r="K52" s="989"/>
      <c r="L52" s="989"/>
      <c r="M52" s="990"/>
      <c r="N52" s="519"/>
      <c r="O52" s="518">
        <f t="shared" si="4"/>
        <v>0</v>
      </c>
      <c r="Q52" s="327"/>
      <c r="R52" s="610">
        <f t="shared" si="0"/>
        <v>0</v>
      </c>
      <c r="S52" s="310"/>
      <c r="T52" s="310"/>
      <c r="U52" s="310"/>
      <c r="V52" s="310"/>
      <c r="W52" s="310"/>
      <c r="X52" s="104"/>
      <c r="Y52" s="104"/>
      <c r="Z52" s="104"/>
      <c r="AA52" s="310"/>
      <c r="AB52" s="310"/>
      <c r="AC52" s="104"/>
      <c r="AD52" s="104"/>
      <c r="AE52" s="104"/>
      <c r="AF52" s="310"/>
      <c r="AG52" s="310"/>
      <c r="AH52" s="104"/>
      <c r="AI52" s="104"/>
    </row>
    <row r="53" spans="1:35" ht="30.75" customHeight="1">
      <c r="B53" s="520"/>
      <c r="C53" s="521"/>
      <c r="D53" s="523">
        <f t="shared" si="1"/>
        <v>0</v>
      </c>
      <c r="E53" s="318" t="str">
        <f>VLOOKUP("[m]",Sprachindex!$A:$Z,Haftungsausschluß!$O$6,FALSE)</f>
        <v>[m]</v>
      </c>
      <c r="F53" s="318" t="str">
        <f>IF($L$14=1,Preisliste!$E$10,Preisliste!$F$10)</f>
        <v>H501000</v>
      </c>
      <c r="G53" s="988" t="str">
        <f>VLOOKUP("Dammbalken 50/150 exkl. Dichtung, gesägt und entgratet",Sprachindex!$A:$Z,Haftungsausschluß!$O$6,FALSE) &amp; " (" &amp; ROUNDUP(C53/1000*5.62,2) &amp; " " &amp; VLOOKUP("kg/Stk",Sprachindex!$A:$Z,Haftungsausschluß!$O$6,FALSE) &amp; ")" &amp; IF('Kalkulation 1'!AH33," " &amp; H3,"")</f>
        <v>Dammbalken 50/150 exkl. Dichtung, gesägt und entgratet (0 kg/Stk)</v>
      </c>
      <c r="H53" s="989"/>
      <c r="I53" s="989"/>
      <c r="J53" s="989"/>
      <c r="K53" s="989"/>
      <c r="L53" s="989"/>
      <c r="M53" s="990"/>
      <c r="N53" s="519"/>
      <c r="O53" s="518">
        <f t="shared" si="4"/>
        <v>0</v>
      </c>
      <c r="Q53" s="327"/>
      <c r="R53" s="610">
        <f t="shared" si="0"/>
        <v>0</v>
      </c>
      <c r="S53" s="310"/>
      <c r="T53" s="310"/>
      <c r="U53" s="310"/>
      <c r="V53" s="310"/>
      <c r="W53" s="310"/>
      <c r="X53" s="104"/>
      <c r="Y53" s="104"/>
      <c r="Z53" s="104"/>
      <c r="AA53" s="310"/>
      <c r="AB53" s="310"/>
      <c r="AC53" s="104"/>
      <c r="AD53" s="104"/>
      <c r="AE53" s="104"/>
      <c r="AF53" s="310"/>
      <c r="AG53" s="310"/>
      <c r="AH53" s="104"/>
      <c r="AI53" s="104"/>
    </row>
    <row r="54" spans="1:35" ht="30.75" customHeight="1">
      <c r="B54" s="520"/>
      <c r="C54" s="521"/>
      <c r="D54" s="523">
        <f t="shared" si="1"/>
        <v>0</v>
      </c>
      <c r="E54" s="318" t="str">
        <f>VLOOKUP("[m]",Sprachindex!$A:$Z,Haftungsausschluß!$O$6,FALSE)</f>
        <v>[m]</v>
      </c>
      <c r="F54" s="318" t="str">
        <f>IF($L$14=1,Preisliste!$E$10,Preisliste!$F$10)</f>
        <v>H501000</v>
      </c>
      <c r="G54" s="988" t="str">
        <f>VLOOKUP("Dammbalken 50/150 exkl. Dichtung, gesägt und entgratet",Sprachindex!$A:$Z,Haftungsausschluß!$O$6,FALSE) &amp; " (" &amp; ROUNDUP(C54/1000*5.62,2) &amp; " " &amp; VLOOKUP("kg/Stk",Sprachindex!$A:$Z,Haftungsausschluß!$O$6,FALSE) &amp; ")" &amp; IF('Kalkulation 1'!AH33," " &amp; H3,"")</f>
        <v>Dammbalken 50/150 exkl. Dichtung, gesägt und entgratet (0 kg/Stk)</v>
      </c>
      <c r="H54" s="989"/>
      <c r="I54" s="989"/>
      <c r="J54" s="989"/>
      <c r="K54" s="989"/>
      <c r="L54" s="989"/>
      <c r="M54" s="990"/>
      <c r="N54" s="519"/>
      <c r="O54" s="518">
        <f t="shared" si="4"/>
        <v>0</v>
      </c>
      <c r="Q54" s="327"/>
      <c r="R54" s="610">
        <f t="shared" si="0"/>
        <v>0</v>
      </c>
      <c r="S54" s="310"/>
      <c r="T54" s="310"/>
      <c r="U54" s="310"/>
      <c r="V54" s="310"/>
      <c r="W54" s="310"/>
      <c r="X54" s="104"/>
      <c r="Y54" s="104"/>
      <c r="Z54" s="104"/>
      <c r="AA54" s="310"/>
      <c r="AB54" s="310"/>
      <c r="AC54" s="104"/>
      <c r="AD54" s="104"/>
      <c r="AE54" s="104"/>
      <c r="AF54" s="310"/>
      <c r="AG54" s="310"/>
      <c r="AH54" s="104"/>
      <c r="AI54" s="104"/>
    </row>
    <row r="55" spans="1:35" ht="30.75" customHeight="1">
      <c r="B55" s="520"/>
      <c r="C55" s="521"/>
      <c r="D55" s="523">
        <f t="shared" si="1"/>
        <v>0</v>
      </c>
      <c r="E55" s="318" t="str">
        <f>VLOOKUP("[m]",Sprachindex!$A:$Z,Haftungsausschluß!$O$6,FALSE)</f>
        <v>[m]</v>
      </c>
      <c r="F55" s="318" t="str">
        <f>IF($L$14=1,Preisliste!$E$10,Preisliste!$F$10)</f>
        <v>H501000</v>
      </c>
      <c r="G55" s="988" t="str">
        <f>VLOOKUP("Dammbalken 50/150 exkl. Dichtung, gesägt und entgratet",Sprachindex!$A:$Z,Haftungsausschluß!$O$6,FALSE) &amp; " (" &amp; ROUNDUP(C55/1000*5.62,2) &amp; " " &amp; VLOOKUP("kg/Stk",Sprachindex!$A:$Z,Haftungsausschluß!$O$6,FALSE) &amp; ")" &amp; IF('Kalkulation 1'!AH33," " &amp; H3,"")</f>
        <v>Dammbalken 50/150 exkl. Dichtung, gesägt und entgratet (0 kg/Stk)</v>
      </c>
      <c r="H55" s="989"/>
      <c r="I55" s="989"/>
      <c r="J55" s="989"/>
      <c r="K55" s="989"/>
      <c r="L55" s="989"/>
      <c r="M55" s="990"/>
      <c r="N55" s="519"/>
      <c r="O55" s="518">
        <f t="shared" si="4"/>
        <v>0</v>
      </c>
      <c r="Q55" s="327"/>
      <c r="R55" s="610">
        <f t="shared" si="0"/>
        <v>0</v>
      </c>
      <c r="S55" s="310"/>
      <c r="T55" s="310"/>
      <c r="U55" s="310"/>
      <c r="V55" s="310"/>
      <c r="W55" s="310"/>
      <c r="X55" s="310"/>
      <c r="Y55" s="310"/>
      <c r="Z55" s="310"/>
      <c r="AA55" s="310"/>
      <c r="AB55" s="310"/>
      <c r="AC55" s="310"/>
      <c r="AD55" s="310"/>
      <c r="AE55" s="310"/>
      <c r="AF55" s="310"/>
      <c r="AG55" s="310"/>
      <c r="AH55" s="310"/>
      <c r="AI55" s="310"/>
    </row>
    <row r="56" spans="1:35" s="533" customFormat="1" ht="32.1" customHeight="1">
      <c r="A56" s="288"/>
      <c r="B56" s="520"/>
      <c r="C56" s="521"/>
      <c r="D56" s="523">
        <f t="shared" si="1"/>
        <v>0</v>
      </c>
      <c r="E56" s="318" t="str">
        <f>VLOOKUP("[m]",Sprachindex!$A:$Z,Haftungsausschluß!$O$6,FALSE)</f>
        <v>[m]</v>
      </c>
      <c r="F56" s="318" t="str">
        <f>IF($L$14=1,Preisliste!$E$13,Preisliste!$F$13)</f>
        <v>H501001</v>
      </c>
      <c r="G56" s="988" t="str">
        <f>VLOOKUP("Dammbalken 50/200 exkl. Dichtung, gesägt und entgratet",Sprachindex!$A:$Z,Haftungsausschluß!$O$6,FALSE) &amp; " (" &amp; ROUNDUP(C56/1000*4.12,2) &amp; " " &amp; VLOOKUP("kg/Stk",Sprachindex!$A:$Z,Haftungsausschluß!$O$6,FALSE) &amp; ")" &amp; IF('Kalkulation 1'!AH33," " &amp; H3,"")</f>
        <v>Dammbalken 50/200 exkl. Dichtung, gesägt und entgratet (0 kg/Stk)</v>
      </c>
      <c r="H56" s="989"/>
      <c r="I56" s="989"/>
      <c r="J56" s="989"/>
      <c r="K56" s="989"/>
      <c r="L56" s="989"/>
      <c r="M56" s="990"/>
      <c r="N56" s="519">
        <v>86.41</v>
      </c>
      <c r="O56" s="518">
        <f t="shared" si="4"/>
        <v>0</v>
      </c>
      <c r="P56" s="677"/>
      <c r="Q56" s="327"/>
      <c r="R56" s="610">
        <f t="shared" si="0"/>
        <v>0</v>
      </c>
      <c r="S56" s="321"/>
      <c r="T56" s="321"/>
      <c r="U56" s="321"/>
      <c r="V56" s="321"/>
      <c r="W56" s="321"/>
      <c r="X56" s="321"/>
      <c r="Y56" s="321"/>
      <c r="Z56" s="321"/>
      <c r="AA56" s="321"/>
      <c r="AB56" s="321"/>
      <c r="AC56" s="321"/>
      <c r="AD56" s="321"/>
      <c r="AE56" s="321"/>
      <c r="AF56" s="321"/>
      <c r="AG56" s="321"/>
      <c r="AH56" s="321"/>
      <c r="AI56" s="321"/>
    </row>
    <row r="57" spans="1:35" ht="32.1" customHeight="1">
      <c r="B57" s="520"/>
      <c r="C57" s="521"/>
      <c r="D57" s="523">
        <f t="shared" si="1"/>
        <v>0</v>
      </c>
      <c r="E57" s="318" t="str">
        <f>VLOOKUP("[m]",Sprachindex!$A:$Z,Haftungsausschluß!$O$6,FALSE)</f>
        <v>[m]</v>
      </c>
      <c r="F57" s="318" t="str">
        <f>IF($L$14=1,Preisliste!$E$13,Preisliste!$F$13)</f>
        <v>H501001</v>
      </c>
      <c r="G57" s="988" t="str">
        <f>VLOOKUP("Dammbalken 50/200 exkl. Dichtung, gesägt und entgratet",Sprachindex!$A:$Z,Haftungsausschluß!$O$6,FALSE) &amp; " (" &amp; ROUNDUP(C57/1000*4.12,2) &amp; " " &amp; VLOOKUP("kg/Stk",Sprachindex!$A:$Z,Haftungsausschluß!$O$6,FALSE) &amp; ")" &amp; IF('Kalkulation 1'!AH33," " &amp; H3,"")</f>
        <v>Dammbalken 50/200 exkl. Dichtung, gesägt und entgratet (0 kg/Stk)</v>
      </c>
      <c r="H57" s="989"/>
      <c r="I57" s="989"/>
      <c r="J57" s="989"/>
      <c r="K57" s="989"/>
      <c r="L57" s="989"/>
      <c r="M57" s="990"/>
      <c r="N57" s="519"/>
      <c r="O57" s="518">
        <f t="shared" ref="O57:O76" si="5">N57*D57</f>
        <v>0</v>
      </c>
      <c r="Q57" s="327"/>
      <c r="R57" s="610">
        <f t="shared" si="0"/>
        <v>0</v>
      </c>
      <c r="S57" s="310"/>
      <c r="T57" s="310"/>
      <c r="U57" s="310"/>
      <c r="V57" s="310"/>
      <c r="W57" s="310"/>
      <c r="X57" s="310"/>
      <c r="Y57" s="310"/>
      <c r="Z57" s="310"/>
      <c r="AA57" s="310"/>
      <c r="AB57" s="310"/>
      <c r="AC57" s="310"/>
      <c r="AD57" s="310"/>
      <c r="AE57" s="310"/>
      <c r="AF57" s="310"/>
      <c r="AG57" s="310"/>
      <c r="AH57" s="310"/>
      <c r="AI57" s="310"/>
    </row>
    <row r="58" spans="1:35" ht="32.1" customHeight="1">
      <c r="B58" s="520"/>
      <c r="C58" s="521"/>
      <c r="D58" s="523">
        <f t="shared" si="1"/>
        <v>0</v>
      </c>
      <c r="E58" s="318" t="str">
        <f>VLOOKUP("[m]",Sprachindex!$A:$Z,Haftungsausschluß!$O$6,FALSE)</f>
        <v>[m]</v>
      </c>
      <c r="F58" s="318" t="str">
        <f>IF($L$14=1,Preisliste!$E$13,Preisliste!$F$13)</f>
        <v>H501001</v>
      </c>
      <c r="G58" s="988" t="str">
        <f>VLOOKUP("Dammbalken 50/200 exkl. Dichtung, gesägt und entgratet",Sprachindex!$A:$Z,Haftungsausschluß!$O$6,FALSE) &amp; " (" &amp; ROUNDUP(C58/1000*4.12,2) &amp; " " &amp; VLOOKUP("kg/Stk",Sprachindex!$A:$Z,Haftungsausschluß!$O$6,FALSE) &amp; ")" &amp; IF('Kalkulation 1'!AH33," " &amp; H3,"")</f>
        <v>Dammbalken 50/200 exkl. Dichtung, gesägt und entgratet (0 kg/Stk)</v>
      </c>
      <c r="H58" s="989"/>
      <c r="I58" s="989"/>
      <c r="J58" s="989"/>
      <c r="K58" s="989"/>
      <c r="L58" s="989"/>
      <c r="M58" s="990"/>
      <c r="N58" s="519"/>
      <c r="O58" s="518">
        <f t="shared" si="5"/>
        <v>0</v>
      </c>
      <c r="Q58" s="327"/>
      <c r="R58" s="610">
        <f t="shared" si="0"/>
        <v>0</v>
      </c>
      <c r="S58" s="310"/>
      <c r="T58" s="310"/>
      <c r="U58" s="310"/>
      <c r="V58" s="310"/>
      <c r="W58" s="310"/>
      <c r="X58" s="310"/>
      <c r="Y58" s="310"/>
      <c r="Z58" s="310"/>
      <c r="AA58" s="310"/>
      <c r="AB58" s="310"/>
      <c r="AC58" s="310"/>
      <c r="AD58" s="310"/>
      <c r="AE58" s="310"/>
      <c r="AF58" s="310"/>
      <c r="AG58" s="310"/>
      <c r="AH58" s="310"/>
      <c r="AI58" s="310"/>
    </row>
    <row r="59" spans="1:35" ht="32.1" customHeight="1">
      <c r="B59" s="520"/>
      <c r="C59" s="521"/>
      <c r="D59" s="523">
        <f t="shared" si="1"/>
        <v>0</v>
      </c>
      <c r="E59" s="318" t="str">
        <f>VLOOKUP("[m]",Sprachindex!$A:$Z,Haftungsausschluß!$O$6,FALSE)</f>
        <v>[m]</v>
      </c>
      <c r="F59" s="318" t="str">
        <f>IF($L$14=1,Preisliste!$E$13,Preisliste!$F$13)</f>
        <v>H501001</v>
      </c>
      <c r="G59" s="988" t="str">
        <f>VLOOKUP("Dammbalken 50/200 exkl. Dichtung, gesägt und entgratet",Sprachindex!$A:$Z,Haftungsausschluß!$O$6,FALSE) &amp; " (" &amp; ROUNDUP(C59/1000*4.12,2) &amp; " " &amp; VLOOKUP("kg/Stk",Sprachindex!$A:$Z,Haftungsausschluß!$O$6,FALSE) &amp; ")" &amp; IF('Kalkulation 1'!AH33," " &amp; H3,"")</f>
        <v>Dammbalken 50/200 exkl. Dichtung, gesägt und entgratet (0 kg/Stk)</v>
      </c>
      <c r="H59" s="989"/>
      <c r="I59" s="989"/>
      <c r="J59" s="989"/>
      <c r="K59" s="989"/>
      <c r="L59" s="989"/>
      <c r="M59" s="990"/>
      <c r="N59" s="519"/>
      <c r="O59" s="518">
        <f t="shared" si="5"/>
        <v>0</v>
      </c>
      <c r="Q59" s="327"/>
      <c r="R59" s="610">
        <f t="shared" si="0"/>
        <v>0</v>
      </c>
      <c r="S59" s="310"/>
      <c r="T59" s="310"/>
      <c r="U59" s="310"/>
      <c r="V59" s="310"/>
      <c r="W59" s="310"/>
      <c r="X59" s="310"/>
      <c r="Y59" s="310"/>
      <c r="Z59" s="310"/>
      <c r="AA59" s="310"/>
      <c r="AB59" s="310"/>
      <c r="AC59" s="310"/>
      <c r="AD59" s="310"/>
      <c r="AE59" s="310"/>
      <c r="AF59" s="310"/>
      <c r="AG59" s="310"/>
      <c r="AH59" s="310"/>
      <c r="AI59" s="310"/>
    </row>
    <row r="60" spans="1:35" ht="32.1" customHeight="1">
      <c r="B60" s="520"/>
      <c r="C60" s="521"/>
      <c r="D60" s="523">
        <f t="shared" si="1"/>
        <v>0</v>
      </c>
      <c r="E60" s="318" t="str">
        <f>VLOOKUP("[m]",Sprachindex!$A:$Z,Haftungsausschluß!$O$6,FALSE)</f>
        <v>[m]</v>
      </c>
      <c r="F60" s="318" t="str">
        <f>IF($L$14=1,Preisliste!$E$13,Preisliste!$F$13)</f>
        <v>H501001</v>
      </c>
      <c r="G60" s="988" t="str">
        <f>VLOOKUP("Dammbalken 50/200 exkl. Dichtung, gesägt und entgratet",Sprachindex!$A:$Z,Haftungsausschluß!$O$6,FALSE) &amp; " (" &amp; ROUNDUP(C60/1000*4.12,2) &amp; " " &amp; VLOOKUP("kg/Stk",Sprachindex!$A:$Z,Haftungsausschluß!$O$6,FALSE) &amp; ")" &amp; IF('Kalkulation 1'!AH33," " &amp; H3,"")</f>
        <v>Dammbalken 50/200 exkl. Dichtung, gesägt und entgratet (0 kg/Stk)</v>
      </c>
      <c r="H60" s="989"/>
      <c r="I60" s="989"/>
      <c r="J60" s="989"/>
      <c r="K60" s="989"/>
      <c r="L60" s="989"/>
      <c r="M60" s="990"/>
      <c r="N60" s="519"/>
      <c r="O60" s="518">
        <f t="shared" si="5"/>
        <v>0</v>
      </c>
      <c r="Q60" s="327"/>
      <c r="R60" s="610">
        <f t="shared" si="0"/>
        <v>0</v>
      </c>
      <c r="S60" s="310"/>
      <c r="T60" s="310"/>
      <c r="U60" s="310"/>
      <c r="V60" s="310"/>
      <c r="W60" s="310"/>
      <c r="X60" s="310"/>
      <c r="Y60" s="310"/>
      <c r="Z60" s="310"/>
      <c r="AA60" s="310"/>
      <c r="AB60" s="310"/>
      <c r="AC60" s="310"/>
      <c r="AD60" s="310"/>
      <c r="AE60" s="310"/>
      <c r="AF60" s="310"/>
      <c r="AG60" s="310"/>
      <c r="AH60" s="310"/>
      <c r="AI60" s="310"/>
    </row>
    <row r="61" spans="1:35" ht="32.1" customHeight="1">
      <c r="B61" s="520"/>
      <c r="C61" s="521"/>
      <c r="D61" s="523">
        <f t="shared" si="1"/>
        <v>0</v>
      </c>
      <c r="E61" s="318" t="str">
        <f>VLOOKUP("[m]",Sprachindex!$A:$Z,Haftungsausschluß!$O$6,FALSE)</f>
        <v>[m]</v>
      </c>
      <c r="F61" s="318" t="str">
        <f>IF($L$14=1,Preisliste!$E$13,Preisliste!$F$13)</f>
        <v>H501001</v>
      </c>
      <c r="G61" s="988" t="str">
        <f>VLOOKUP("Dammbalken 50/200 exkl. Dichtung, gesägt und entgratet",Sprachindex!$A:$Z,Haftungsausschluß!$O$6,FALSE) &amp; " (" &amp; ROUNDUP(C61/1000*4.12,2) &amp; " " &amp; VLOOKUP("kg/Stk",Sprachindex!$A:$Z,Haftungsausschluß!$O$6,FALSE) &amp; ")" &amp; IF('Kalkulation 1'!AH33," " &amp; H3,"")</f>
        <v>Dammbalken 50/200 exkl. Dichtung, gesägt und entgratet (0 kg/Stk)</v>
      </c>
      <c r="H61" s="989"/>
      <c r="I61" s="989"/>
      <c r="J61" s="989"/>
      <c r="K61" s="989"/>
      <c r="L61" s="989"/>
      <c r="M61" s="990"/>
      <c r="N61" s="519"/>
      <c r="O61" s="518">
        <f t="shared" si="5"/>
        <v>0</v>
      </c>
      <c r="Q61" s="327"/>
      <c r="R61" s="610">
        <f t="shared" si="0"/>
        <v>0</v>
      </c>
      <c r="S61" s="310"/>
      <c r="T61" s="310"/>
      <c r="U61" s="310"/>
      <c r="V61" s="310"/>
      <c r="W61" s="310"/>
      <c r="X61" s="310"/>
      <c r="Y61" s="310"/>
      <c r="Z61" s="310"/>
      <c r="AA61" s="310"/>
      <c r="AB61" s="310"/>
      <c r="AC61" s="310"/>
      <c r="AD61" s="310"/>
      <c r="AE61" s="310"/>
      <c r="AF61" s="310"/>
      <c r="AG61" s="310"/>
      <c r="AH61" s="310"/>
      <c r="AI61" s="310"/>
    </row>
    <row r="62" spans="1:35" ht="32.1" customHeight="1">
      <c r="B62" s="520"/>
      <c r="C62" s="521"/>
      <c r="D62" s="523">
        <f t="shared" si="1"/>
        <v>0</v>
      </c>
      <c r="E62" s="318" t="str">
        <f>VLOOKUP("[m]",Sprachindex!$A:$Z,Haftungsausschluß!$O$6,FALSE)</f>
        <v>[m]</v>
      </c>
      <c r="F62" s="318" t="str">
        <f>IF($L$14=1,Preisliste!$E$13,Preisliste!$F$13)</f>
        <v>H501001</v>
      </c>
      <c r="G62" s="988" t="str">
        <f>VLOOKUP("Dammbalken 50/200 exkl. Dichtung, gesägt und entgratet",Sprachindex!$A:$Z,Haftungsausschluß!$O$6,FALSE) &amp; " (" &amp; ROUNDUP(C62/1000*4.12,2) &amp; " " &amp; VLOOKUP("kg/Stk",Sprachindex!$A:$Z,Haftungsausschluß!$O$6,FALSE) &amp; ")" &amp; IF('Kalkulation 1'!AH33," " &amp; H3,"")</f>
        <v>Dammbalken 50/200 exkl. Dichtung, gesägt und entgratet (0 kg/Stk)</v>
      </c>
      <c r="H62" s="989"/>
      <c r="I62" s="989"/>
      <c r="J62" s="989"/>
      <c r="K62" s="989"/>
      <c r="L62" s="989"/>
      <c r="M62" s="990"/>
      <c r="N62" s="519"/>
      <c r="O62" s="518">
        <f t="shared" si="5"/>
        <v>0</v>
      </c>
      <c r="Q62" s="327"/>
      <c r="R62" s="610">
        <f t="shared" si="0"/>
        <v>0</v>
      </c>
      <c r="S62" s="310"/>
      <c r="T62" s="310"/>
      <c r="U62" s="310"/>
      <c r="V62" s="310"/>
      <c r="W62" s="310"/>
      <c r="X62" s="310"/>
      <c r="Y62" s="310"/>
      <c r="Z62" s="310"/>
      <c r="AA62" s="310"/>
      <c r="AB62" s="310"/>
      <c r="AC62" s="310"/>
      <c r="AD62" s="310"/>
      <c r="AE62" s="310"/>
      <c r="AF62" s="310"/>
      <c r="AG62" s="310"/>
      <c r="AH62" s="310"/>
      <c r="AI62" s="310"/>
    </row>
    <row r="63" spans="1:35" ht="32.1" customHeight="1">
      <c r="B63" s="520"/>
      <c r="C63" s="521"/>
      <c r="D63" s="523">
        <f t="shared" si="1"/>
        <v>0</v>
      </c>
      <c r="E63" s="318" t="str">
        <f>VLOOKUP("[m]",Sprachindex!$A:$Z,Haftungsausschluß!$O$6,FALSE)</f>
        <v>[m]</v>
      </c>
      <c r="F63" s="318" t="str">
        <f>IF($L$14=1,Preisliste!$E$13,Preisliste!$F$13)</f>
        <v>H501001</v>
      </c>
      <c r="G63" s="988" t="str">
        <f>VLOOKUP("Dammbalken 50/200 exkl. Dichtung, gesägt und entgratet",Sprachindex!$A:$Z,Haftungsausschluß!$O$6,FALSE) &amp; " (" &amp; ROUNDUP(C63/1000*4.12,2) &amp; " " &amp; VLOOKUP("kg/Stk",Sprachindex!$A:$Z,Haftungsausschluß!$O$6,FALSE) &amp; ")" &amp; IF('Kalkulation 1'!AH33," " &amp; H3,"")</f>
        <v>Dammbalken 50/200 exkl. Dichtung, gesägt und entgratet (0 kg/Stk)</v>
      </c>
      <c r="H63" s="989"/>
      <c r="I63" s="989"/>
      <c r="J63" s="989"/>
      <c r="K63" s="989"/>
      <c r="L63" s="989"/>
      <c r="M63" s="990"/>
      <c r="N63" s="519"/>
      <c r="O63" s="518">
        <f t="shared" si="5"/>
        <v>0</v>
      </c>
      <c r="Q63" s="327"/>
      <c r="R63" s="610">
        <f t="shared" si="0"/>
        <v>0</v>
      </c>
      <c r="S63" s="310"/>
      <c r="T63" s="310"/>
      <c r="U63" s="310"/>
      <c r="V63" s="310"/>
      <c r="W63" s="310"/>
      <c r="X63" s="310"/>
      <c r="Y63" s="310"/>
      <c r="Z63" s="310"/>
      <c r="AA63" s="310"/>
      <c r="AB63" s="310"/>
      <c r="AC63" s="310"/>
      <c r="AD63" s="310"/>
      <c r="AE63" s="310"/>
      <c r="AF63" s="310"/>
      <c r="AG63" s="310"/>
      <c r="AH63" s="310"/>
      <c r="AI63" s="310"/>
    </row>
    <row r="64" spans="1:35" ht="32.1" customHeight="1">
      <c r="B64" s="520"/>
      <c r="C64" s="521"/>
      <c r="D64" s="523">
        <f t="shared" si="1"/>
        <v>0</v>
      </c>
      <c r="E64" s="318" t="str">
        <f>VLOOKUP("[m]",Sprachindex!$A:$Z,Haftungsausschluß!$O$6,FALSE)</f>
        <v>[m]</v>
      </c>
      <c r="F64" s="318" t="str">
        <f>IF($L$14=1,Preisliste!$E$13,Preisliste!$F$13)</f>
        <v>H501001</v>
      </c>
      <c r="G64" s="988" t="str">
        <f>VLOOKUP("Dammbalken 50/200 exkl. Dichtung, gesägt und entgratet",Sprachindex!$A:$Z,Haftungsausschluß!$O$6,FALSE) &amp; " (" &amp; ROUNDUP(C64/1000*4.12,2) &amp; " " &amp; VLOOKUP("kg/Stk",Sprachindex!$A:$Z,Haftungsausschluß!$O$6,FALSE) &amp; ")" &amp; IF('Kalkulation 1'!AH33," " &amp; H3,"")</f>
        <v>Dammbalken 50/200 exkl. Dichtung, gesägt und entgratet (0 kg/Stk)</v>
      </c>
      <c r="H64" s="989"/>
      <c r="I64" s="989"/>
      <c r="J64" s="989"/>
      <c r="K64" s="989"/>
      <c r="L64" s="989"/>
      <c r="M64" s="990"/>
      <c r="N64" s="519"/>
      <c r="O64" s="518">
        <f t="shared" si="5"/>
        <v>0</v>
      </c>
      <c r="Q64" s="327"/>
      <c r="R64" s="610">
        <f t="shared" si="0"/>
        <v>0</v>
      </c>
      <c r="S64" s="310"/>
      <c r="T64" s="310"/>
      <c r="U64" s="310"/>
      <c r="V64" s="310"/>
      <c r="W64" s="310"/>
      <c r="X64" s="310"/>
      <c r="Y64" s="310"/>
      <c r="Z64" s="310"/>
      <c r="AA64" s="310"/>
      <c r="AB64" s="310"/>
      <c r="AC64" s="310"/>
      <c r="AD64" s="310"/>
      <c r="AE64" s="310"/>
      <c r="AF64" s="310"/>
      <c r="AG64" s="310"/>
      <c r="AH64" s="310"/>
      <c r="AI64" s="310"/>
    </row>
    <row r="65" spans="1:35" ht="32.1" customHeight="1">
      <c r="B65" s="520"/>
      <c r="C65" s="521"/>
      <c r="D65" s="523">
        <f t="shared" si="1"/>
        <v>0</v>
      </c>
      <c r="E65" s="318" t="str">
        <f>VLOOKUP("[m]",Sprachindex!$A:$Z,Haftungsausschluß!$O$6,FALSE)</f>
        <v>[m]</v>
      </c>
      <c r="F65" s="318" t="str">
        <f>IF($L$14=1,Preisliste!$E$13,Preisliste!$F$13)</f>
        <v>H501001</v>
      </c>
      <c r="G65" s="988" t="str">
        <f>VLOOKUP("Dammbalken 50/200 exkl. Dichtung, gesägt und entgratet",Sprachindex!$A:$Z,Haftungsausschluß!$O$6,FALSE) &amp; " (" &amp; ROUNDUP(C65/1000*4.12,2) &amp; " " &amp; VLOOKUP("kg/Stk",Sprachindex!$A:$Z,Haftungsausschluß!$O$6,FALSE) &amp; ")" &amp; IF('Kalkulation 1'!AH33," " &amp; H3,"")</f>
        <v>Dammbalken 50/200 exkl. Dichtung, gesägt und entgratet (0 kg/Stk)</v>
      </c>
      <c r="H65" s="989"/>
      <c r="I65" s="989"/>
      <c r="J65" s="989"/>
      <c r="K65" s="989"/>
      <c r="L65" s="989"/>
      <c r="M65" s="990"/>
      <c r="N65" s="519"/>
      <c r="O65" s="518">
        <f t="shared" si="5"/>
        <v>0</v>
      </c>
      <c r="Q65" s="327"/>
      <c r="R65" s="610">
        <f t="shared" si="0"/>
        <v>0</v>
      </c>
      <c r="S65" s="310"/>
      <c r="T65" s="310"/>
      <c r="U65" s="310"/>
      <c r="V65" s="310"/>
      <c r="W65" s="310"/>
      <c r="X65" s="310"/>
      <c r="Y65" s="310"/>
      <c r="Z65" s="310"/>
      <c r="AA65" s="310"/>
      <c r="AB65" s="310"/>
      <c r="AC65" s="310"/>
      <c r="AD65" s="310"/>
      <c r="AE65" s="310"/>
      <c r="AF65" s="310"/>
      <c r="AG65" s="310"/>
      <c r="AH65" s="310"/>
      <c r="AI65" s="310"/>
    </row>
    <row r="66" spans="1:35" ht="32.1" customHeight="1">
      <c r="B66" s="520"/>
      <c r="C66" s="521"/>
      <c r="D66" s="523">
        <f t="shared" si="1"/>
        <v>0</v>
      </c>
      <c r="E66" s="318" t="str">
        <f>VLOOKUP("[m]",Sprachindex!$A:$Z,Haftungsausschluß!$O$6,FALSE)</f>
        <v>[m]</v>
      </c>
      <c r="F66" s="318" t="str">
        <f>IF($L$14=1,Preisliste!$E$13,Preisliste!$F$13)</f>
        <v>H501001</v>
      </c>
      <c r="G66" s="988" t="str">
        <f>VLOOKUP("Dammbalken 50/200 exkl. Dichtung, gesägt und entgratet",Sprachindex!$A:$Z,Haftungsausschluß!$O$6,FALSE) &amp; " (" &amp; ROUNDUP(C66/1000*4.12,2) &amp; " " &amp; VLOOKUP("kg/Stk",Sprachindex!$A:$Z,Haftungsausschluß!$O$6,FALSE) &amp; ")" &amp; IF('Kalkulation 1'!AH33," " &amp; H3,"")</f>
        <v>Dammbalken 50/200 exkl. Dichtung, gesägt und entgratet (0 kg/Stk)</v>
      </c>
      <c r="H66" s="989"/>
      <c r="I66" s="989"/>
      <c r="J66" s="989"/>
      <c r="K66" s="989"/>
      <c r="L66" s="989"/>
      <c r="M66" s="990"/>
      <c r="N66" s="519"/>
      <c r="O66" s="518">
        <f t="shared" si="5"/>
        <v>0</v>
      </c>
      <c r="Q66" s="327"/>
      <c r="R66" s="610">
        <f t="shared" si="0"/>
        <v>0</v>
      </c>
      <c r="S66" s="310"/>
      <c r="T66" s="310"/>
      <c r="U66" s="310"/>
      <c r="V66" s="310"/>
      <c r="W66" s="310"/>
      <c r="X66" s="310"/>
      <c r="Y66" s="310"/>
      <c r="Z66" s="310"/>
      <c r="AA66" s="310"/>
      <c r="AB66" s="310"/>
      <c r="AC66" s="310"/>
      <c r="AD66" s="310"/>
      <c r="AE66" s="310"/>
      <c r="AF66" s="310"/>
      <c r="AG66" s="310"/>
      <c r="AH66" s="310"/>
      <c r="AI66" s="310"/>
    </row>
    <row r="67" spans="1:35" ht="32.1" customHeight="1">
      <c r="B67" s="520"/>
      <c r="C67" s="521"/>
      <c r="D67" s="523">
        <f t="shared" si="1"/>
        <v>0</v>
      </c>
      <c r="E67" s="318" t="str">
        <f>VLOOKUP("[m]",Sprachindex!$A:$Z,Haftungsausschluß!$O$6,FALSE)</f>
        <v>[m]</v>
      </c>
      <c r="F67" s="318" t="str">
        <f>IF($L$14=1,Preisliste!$E$13,Preisliste!$F$13)</f>
        <v>H501001</v>
      </c>
      <c r="G67" s="988" t="str">
        <f>VLOOKUP("Dammbalken 50/200 exkl. Dichtung, gesägt und entgratet",Sprachindex!$A:$Z,Haftungsausschluß!$O$6,FALSE) &amp; " (" &amp; ROUNDUP(C67/1000*4.12,2) &amp; " " &amp; VLOOKUP("kg/Stk",Sprachindex!$A:$Z,Haftungsausschluß!$O$6,FALSE) &amp; ")" &amp; IF('Kalkulation 1'!AH33," " &amp; H3,"")</f>
        <v>Dammbalken 50/200 exkl. Dichtung, gesägt und entgratet (0 kg/Stk)</v>
      </c>
      <c r="H67" s="989"/>
      <c r="I67" s="989"/>
      <c r="J67" s="989"/>
      <c r="K67" s="989"/>
      <c r="L67" s="989"/>
      <c r="M67" s="990"/>
      <c r="N67" s="519"/>
      <c r="O67" s="518">
        <f t="shared" si="5"/>
        <v>0</v>
      </c>
      <c r="Q67" s="327"/>
      <c r="R67" s="610">
        <f t="shared" si="0"/>
        <v>0</v>
      </c>
      <c r="S67" s="310"/>
      <c r="T67" s="310"/>
      <c r="U67" s="310"/>
      <c r="V67" s="310"/>
      <c r="W67" s="310"/>
      <c r="X67" s="310"/>
      <c r="Y67" s="310"/>
      <c r="Z67" s="310"/>
      <c r="AA67" s="310"/>
      <c r="AB67" s="310"/>
      <c r="AC67" s="310"/>
      <c r="AD67" s="310"/>
      <c r="AE67" s="310"/>
      <c r="AF67" s="310"/>
      <c r="AG67" s="310"/>
      <c r="AH67" s="310"/>
      <c r="AI67" s="310"/>
    </row>
    <row r="68" spans="1:35" ht="32.1" customHeight="1">
      <c r="B68" s="520"/>
      <c r="C68" s="521"/>
      <c r="D68" s="523">
        <f t="shared" si="1"/>
        <v>0</v>
      </c>
      <c r="E68" s="318" t="str">
        <f>VLOOKUP("[m]",Sprachindex!$A:$Z,Haftungsausschluß!$O$6,FALSE)</f>
        <v>[m]</v>
      </c>
      <c r="F68" s="318" t="str">
        <f>IF($L$14=1,Preisliste!$E$13,Preisliste!$F$13)</f>
        <v>H501001</v>
      </c>
      <c r="G68" s="988" t="str">
        <f>VLOOKUP("Dammbalken 50/200 exkl. Dichtung, gesägt und entgratet",Sprachindex!$A:$Z,Haftungsausschluß!$O$6,FALSE) &amp; " (" &amp; ROUNDUP(C68/1000*4.12,2) &amp; " " &amp; VLOOKUP("kg/Stk",Sprachindex!$A:$Z,Haftungsausschluß!$O$6,FALSE) &amp; ")" &amp; IF('Kalkulation 1'!AH33," " &amp; H3,"")</f>
        <v>Dammbalken 50/200 exkl. Dichtung, gesägt und entgratet (0 kg/Stk)</v>
      </c>
      <c r="H68" s="989"/>
      <c r="I68" s="989"/>
      <c r="J68" s="989"/>
      <c r="K68" s="989"/>
      <c r="L68" s="989"/>
      <c r="M68" s="990"/>
      <c r="N68" s="519"/>
      <c r="O68" s="518">
        <f t="shared" si="5"/>
        <v>0</v>
      </c>
      <c r="Q68" s="327"/>
      <c r="R68" s="610">
        <f t="shared" si="0"/>
        <v>0</v>
      </c>
      <c r="S68" s="310"/>
      <c r="T68" s="310"/>
      <c r="U68" s="310"/>
      <c r="V68" s="310"/>
      <c r="W68" s="310"/>
      <c r="X68" s="310"/>
      <c r="Y68" s="310"/>
      <c r="Z68" s="310"/>
      <c r="AA68" s="310"/>
      <c r="AB68" s="310"/>
      <c r="AC68" s="310"/>
      <c r="AD68" s="310"/>
      <c r="AE68" s="310"/>
      <c r="AF68" s="310"/>
      <c r="AG68" s="310"/>
      <c r="AH68" s="310"/>
      <c r="AI68" s="310"/>
    </row>
    <row r="69" spans="1:35" ht="32.1" customHeight="1">
      <c r="B69" s="520"/>
      <c r="C69" s="521"/>
      <c r="D69" s="523">
        <f t="shared" si="1"/>
        <v>0</v>
      </c>
      <c r="E69" s="318" t="str">
        <f>VLOOKUP("[m]",Sprachindex!$A:$Z,Haftungsausschluß!$O$6,FALSE)</f>
        <v>[m]</v>
      </c>
      <c r="F69" s="318" t="str">
        <f>IF($L$14=1,Preisliste!$E$13,Preisliste!$F$13)</f>
        <v>H501001</v>
      </c>
      <c r="G69" s="988" t="str">
        <f>VLOOKUP("Dammbalken 50/200 exkl. Dichtung, gesägt und entgratet",Sprachindex!$A:$Z,Haftungsausschluß!$O$6,FALSE) &amp; " (" &amp; ROUNDUP(C69/1000*4.12,2) &amp; " " &amp; VLOOKUP("kg/Stk",Sprachindex!$A:$Z,Haftungsausschluß!$O$6,FALSE) &amp; ")" &amp; IF('Kalkulation 1'!AH33," " &amp; H3,"")</f>
        <v>Dammbalken 50/200 exkl. Dichtung, gesägt und entgratet (0 kg/Stk)</v>
      </c>
      <c r="H69" s="989"/>
      <c r="I69" s="989"/>
      <c r="J69" s="989"/>
      <c r="K69" s="989"/>
      <c r="L69" s="989"/>
      <c r="M69" s="990"/>
      <c r="N69" s="519"/>
      <c r="O69" s="518">
        <f t="shared" si="5"/>
        <v>0</v>
      </c>
      <c r="Q69" s="327"/>
      <c r="R69" s="610">
        <f t="shared" si="0"/>
        <v>0</v>
      </c>
      <c r="S69" s="310"/>
      <c r="T69" s="310"/>
      <c r="U69" s="310"/>
      <c r="V69" s="310"/>
      <c r="W69" s="310"/>
      <c r="X69" s="310"/>
      <c r="Y69" s="310"/>
      <c r="Z69" s="310"/>
      <c r="AA69" s="310"/>
      <c r="AB69" s="310"/>
      <c r="AC69" s="310"/>
      <c r="AD69" s="310"/>
      <c r="AE69" s="310"/>
      <c r="AF69" s="310"/>
      <c r="AG69" s="310"/>
      <c r="AH69" s="310"/>
      <c r="AI69" s="310"/>
    </row>
    <row r="70" spans="1:35" ht="32.1" customHeight="1">
      <c r="B70" s="520"/>
      <c r="C70" s="521"/>
      <c r="D70" s="523">
        <f t="shared" si="1"/>
        <v>0</v>
      </c>
      <c r="E70" s="318" t="str">
        <f>VLOOKUP("[m]",Sprachindex!$A:$Z,Haftungsausschluß!$O$6,FALSE)</f>
        <v>[m]</v>
      </c>
      <c r="F70" s="318" t="str">
        <f>IF($L$14=1,Preisliste!$E$13,Preisliste!$F$13)</f>
        <v>H501001</v>
      </c>
      <c r="G70" s="988" t="str">
        <f>VLOOKUP("Dammbalken 50/200 exkl. Dichtung, gesägt und entgratet",Sprachindex!$A:$Z,Haftungsausschluß!$O$6,FALSE) &amp; " (" &amp; ROUNDUP(C70/1000*4.12,2) &amp; " " &amp; VLOOKUP("kg/Stk",Sprachindex!$A:$Z,Haftungsausschluß!$O$6,FALSE) &amp; ")" &amp; IF('Kalkulation 1'!AH33," " &amp; H3,"")</f>
        <v>Dammbalken 50/200 exkl. Dichtung, gesägt und entgratet (0 kg/Stk)</v>
      </c>
      <c r="H70" s="989"/>
      <c r="I70" s="989"/>
      <c r="J70" s="989"/>
      <c r="K70" s="989"/>
      <c r="L70" s="989"/>
      <c r="M70" s="990"/>
      <c r="N70" s="519"/>
      <c r="O70" s="518">
        <f t="shared" si="5"/>
        <v>0</v>
      </c>
      <c r="Q70" s="327"/>
      <c r="R70" s="610">
        <f t="shared" si="0"/>
        <v>0</v>
      </c>
      <c r="S70" s="310"/>
      <c r="T70" s="310"/>
      <c r="U70" s="310"/>
      <c r="V70" s="310"/>
      <c r="W70" s="310"/>
      <c r="X70" s="310"/>
      <c r="Y70" s="310"/>
      <c r="Z70" s="310"/>
      <c r="AA70" s="310"/>
      <c r="AB70" s="310"/>
      <c r="AC70" s="310"/>
      <c r="AD70" s="310"/>
      <c r="AE70" s="310"/>
      <c r="AF70" s="310"/>
      <c r="AG70" s="310"/>
      <c r="AH70" s="310"/>
      <c r="AI70" s="310"/>
    </row>
    <row r="71" spans="1:35" ht="32.1" customHeight="1">
      <c r="B71" s="520"/>
      <c r="C71" s="521"/>
      <c r="D71" s="523">
        <f t="shared" si="1"/>
        <v>0</v>
      </c>
      <c r="E71" s="318" t="str">
        <f>VLOOKUP("[m]",Sprachindex!$A:$Z,Haftungsausschluß!$O$6,FALSE)</f>
        <v>[m]</v>
      </c>
      <c r="F71" s="318" t="str">
        <f>IF($L$14=1,Preisliste!$E$13,Preisliste!$F$13)</f>
        <v>H501001</v>
      </c>
      <c r="G71" s="988" t="str">
        <f>VLOOKUP("Dammbalken 50/200 exkl. Dichtung, gesägt und entgratet",Sprachindex!$A:$Z,Haftungsausschluß!$O$6,FALSE) &amp; " (" &amp; ROUNDUP(C71/1000*4.12,2) &amp; " " &amp; VLOOKUP("kg/Stk",Sprachindex!$A:$Z,Haftungsausschluß!$O$6,FALSE) &amp; ")" &amp; IF('Kalkulation 1'!AH33," " &amp; H3,"")</f>
        <v>Dammbalken 50/200 exkl. Dichtung, gesägt und entgratet (0 kg/Stk)</v>
      </c>
      <c r="H71" s="989"/>
      <c r="I71" s="989"/>
      <c r="J71" s="989"/>
      <c r="K71" s="989"/>
      <c r="L71" s="989"/>
      <c r="M71" s="990"/>
      <c r="N71" s="519"/>
      <c r="O71" s="518">
        <f t="shared" si="5"/>
        <v>0</v>
      </c>
      <c r="Q71" s="327"/>
      <c r="R71" s="610">
        <f t="shared" si="0"/>
        <v>0</v>
      </c>
      <c r="S71" s="310"/>
      <c r="T71" s="310"/>
      <c r="U71" s="310"/>
      <c r="V71" s="310"/>
      <c r="W71" s="310"/>
      <c r="X71" s="310"/>
      <c r="Y71" s="310"/>
      <c r="Z71" s="310"/>
      <c r="AA71" s="310"/>
      <c r="AB71" s="310"/>
      <c r="AC71" s="310"/>
      <c r="AD71" s="310"/>
      <c r="AE71" s="310"/>
      <c r="AF71" s="310"/>
      <c r="AG71" s="310"/>
      <c r="AH71" s="310"/>
      <c r="AI71" s="310"/>
    </row>
    <row r="72" spans="1:35" ht="32.1" customHeight="1">
      <c r="B72" s="520"/>
      <c r="C72" s="521"/>
      <c r="D72" s="523">
        <f t="shared" si="1"/>
        <v>0</v>
      </c>
      <c r="E72" s="318" t="str">
        <f>VLOOKUP("[m]",Sprachindex!$A:$Z,Haftungsausschluß!$O$6,FALSE)</f>
        <v>[m]</v>
      </c>
      <c r="F72" s="318" t="str">
        <f>IF($L$14=1,Preisliste!$E$13,Preisliste!$F$13)</f>
        <v>H501001</v>
      </c>
      <c r="G72" s="988" t="str">
        <f>VLOOKUP("Dammbalken 50/200 exkl. Dichtung, gesägt und entgratet",Sprachindex!$A:$Z,Haftungsausschluß!$O$6,FALSE) &amp; " (" &amp; ROUNDUP(C72/1000*4.12,2) &amp; " " &amp; VLOOKUP("kg/Stk",Sprachindex!$A:$Z,Haftungsausschluß!$O$6,FALSE) &amp; ")" &amp; IF('Kalkulation 1'!AH33," " &amp; H3,"")</f>
        <v>Dammbalken 50/200 exkl. Dichtung, gesägt und entgratet (0 kg/Stk)</v>
      </c>
      <c r="H72" s="989"/>
      <c r="I72" s="989"/>
      <c r="J72" s="989"/>
      <c r="K72" s="989"/>
      <c r="L72" s="989"/>
      <c r="M72" s="990"/>
      <c r="N72" s="519"/>
      <c r="O72" s="518">
        <f t="shared" si="5"/>
        <v>0</v>
      </c>
      <c r="Q72" s="327"/>
      <c r="R72" s="610">
        <f t="shared" si="0"/>
        <v>0</v>
      </c>
      <c r="S72" s="310"/>
      <c r="T72" s="310"/>
      <c r="U72" s="310"/>
      <c r="V72" s="310"/>
      <c r="W72" s="310"/>
      <c r="X72" s="310"/>
      <c r="Y72" s="310"/>
      <c r="Z72" s="310"/>
      <c r="AA72" s="310"/>
      <c r="AB72" s="310"/>
      <c r="AC72" s="310"/>
      <c r="AD72" s="310"/>
      <c r="AE72" s="310"/>
      <c r="AF72" s="310"/>
      <c r="AG72" s="310"/>
      <c r="AH72" s="310"/>
      <c r="AI72" s="310"/>
    </row>
    <row r="73" spans="1:35" ht="32.1" customHeight="1">
      <c r="B73" s="520"/>
      <c r="C73" s="521"/>
      <c r="D73" s="523">
        <f t="shared" si="1"/>
        <v>0</v>
      </c>
      <c r="E73" s="318" t="str">
        <f>VLOOKUP("[m]",Sprachindex!$A:$Z,Haftungsausschluß!$O$6,FALSE)</f>
        <v>[m]</v>
      </c>
      <c r="F73" s="318" t="str">
        <f>IF($L$14=1,Preisliste!$E$13,Preisliste!$F$13)</f>
        <v>H501001</v>
      </c>
      <c r="G73" s="988" t="str">
        <f>VLOOKUP("Dammbalken 50/200 exkl. Dichtung, gesägt und entgratet",Sprachindex!$A:$Z,Haftungsausschluß!$O$6,FALSE) &amp; " (" &amp; ROUNDUP(C73/1000*4.12,2) &amp; " " &amp; VLOOKUP("kg/Stk",Sprachindex!$A:$Z,Haftungsausschluß!$O$6,FALSE) &amp; ")" &amp; IF('Kalkulation 1'!AH33," " &amp; H3,"")</f>
        <v>Dammbalken 50/200 exkl. Dichtung, gesägt und entgratet (0 kg/Stk)</v>
      </c>
      <c r="H73" s="989"/>
      <c r="I73" s="989"/>
      <c r="J73" s="989"/>
      <c r="K73" s="989"/>
      <c r="L73" s="989"/>
      <c r="M73" s="990"/>
      <c r="N73" s="519"/>
      <c r="O73" s="518">
        <f t="shared" si="5"/>
        <v>0</v>
      </c>
      <c r="Q73" s="327"/>
      <c r="R73" s="610">
        <f t="shared" si="0"/>
        <v>0</v>
      </c>
      <c r="S73" s="310"/>
      <c r="T73" s="310"/>
      <c r="U73" s="310"/>
      <c r="V73" s="310"/>
      <c r="W73" s="310"/>
      <c r="X73" s="310"/>
      <c r="Y73" s="310"/>
      <c r="Z73" s="310"/>
      <c r="AA73" s="310"/>
      <c r="AB73" s="310"/>
      <c r="AC73" s="310"/>
      <c r="AD73" s="310"/>
      <c r="AE73" s="310"/>
      <c r="AF73" s="310"/>
      <c r="AG73" s="310"/>
      <c r="AH73" s="310"/>
      <c r="AI73" s="310"/>
    </row>
    <row r="74" spans="1:35" ht="32.1" customHeight="1">
      <c r="B74" s="520"/>
      <c r="C74" s="521"/>
      <c r="D74" s="523">
        <f t="shared" si="1"/>
        <v>0</v>
      </c>
      <c r="E74" s="318" t="str">
        <f>VLOOKUP("[m]",Sprachindex!$A:$Z,Haftungsausschluß!$O$6,FALSE)</f>
        <v>[m]</v>
      </c>
      <c r="F74" s="318" t="str">
        <f>IF($L$14=1,Preisliste!$E$13,Preisliste!$F$13)</f>
        <v>H501001</v>
      </c>
      <c r="G74" s="988" t="str">
        <f>VLOOKUP("Dammbalken 50/200 exkl. Dichtung, gesägt und entgratet",Sprachindex!$A:$Z,Haftungsausschluß!$O$6,FALSE) &amp; " (" &amp; ROUNDUP(C74/1000*4.12,2) &amp; " " &amp; VLOOKUP("kg/Stk",Sprachindex!$A:$Z,Haftungsausschluß!$O$6,FALSE) &amp; ")" &amp; IF('Kalkulation 1'!AH33," " &amp; H3,"")</f>
        <v>Dammbalken 50/200 exkl. Dichtung, gesägt und entgratet (0 kg/Stk)</v>
      </c>
      <c r="H74" s="989"/>
      <c r="I74" s="989"/>
      <c r="J74" s="989"/>
      <c r="K74" s="989"/>
      <c r="L74" s="989"/>
      <c r="M74" s="990"/>
      <c r="N74" s="519"/>
      <c r="O74" s="518">
        <f t="shared" si="5"/>
        <v>0</v>
      </c>
      <c r="Q74" s="327"/>
      <c r="R74" s="610">
        <f t="shared" si="0"/>
        <v>0</v>
      </c>
      <c r="S74" s="310"/>
      <c r="T74" s="310"/>
      <c r="U74" s="310"/>
      <c r="V74" s="310"/>
      <c r="W74" s="310"/>
      <c r="X74" s="310"/>
      <c r="Y74" s="310"/>
      <c r="Z74" s="310"/>
      <c r="AA74" s="310"/>
      <c r="AB74" s="310"/>
      <c r="AC74" s="310"/>
      <c r="AD74" s="310"/>
      <c r="AE74" s="310"/>
      <c r="AF74" s="310"/>
      <c r="AG74" s="310"/>
      <c r="AH74" s="310"/>
      <c r="AI74" s="310"/>
    </row>
    <row r="75" spans="1:35" ht="32.1" customHeight="1">
      <c r="B75" s="520"/>
      <c r="C75" s="521"/>
      <c r="D75" s="523">
        <f t="shared" si="1"/>
        <v>0</v>
      </c>
      <c r="E75" s="318" t="str">
        <f>VLOOKUP("[m]",Sprachindex!$A:$Z,Haftungsausschluß!$O$6,FALSE)</f>
        <v>[m]</v>
      </c>
      <c r="F75" s="318" t="str">
        <f>IF($L$14=1,Preisliste!$E$13,Preisliste!$F$13)</f>
        <v>H501001</v>
      </c>
      <c r="G75" s="988" t="str">
        <f>VLOOKUP("Dammbalken 50/200 exkl. Dichtung, gesägt und entgratet",Sprachindex!$A:$Z,Haftungsausschluß!$O$6,FALSE) &amp; " (" &amp; ROUNDUP(C75/1000*4.12,2) &amp; " " &amp; VLOOKUP("kg/Stk",Sprachindex!$A:$Z,Haftungsausschluß!$O$6,FALSE) &amp; ")" &amp; IF('Kalkulation 1'!AH33," " &amp; H3,"")</f>
        <v>Dammbalken 50/200 exkl. Dichtung, gesägt und entgratet (0 kg/Stk)</v>
      </c>
      <c r="H75" s="989"/>
      <c r="I75" s="989"/>
      <c r="J75" s="989"/>
      <c r="K75" s="989"/>
      <c r="L75" s="989"/>
      <c r="M75" s="990"/>
      <c r="N75" s="519"/>
      <c r="O75" s="518">
        <f t="shared" si="5"/>
        <v>0</v>
      </c>
      <c r="Q75" s="327"/>
      <c r="R75" s="610">
        <f t="shared" si="0"/>
        <v>0</v>
      </c>
      <c r="S75" s="310"/>
      <c r="T75" s="310"/>
      <c r="U75" s="310"/>
      <c r="V75" s="310"/>
      <c r="W75" s="310"/>
      <c r="X75" s="310"/>
      <c r="Y75" s="310"/>
      <c r="Z75" s="310"/>
      <c r="AA75" s="310"/>
      <c r="AB75" s="310"/>
      <c r="AC75" s="310"/>
      <c r="AD75" s="310"/>
      <c r="AE75" s="310"/>
      <c r="AF75" s="310"/>
      <c r="AG75" s="310"/>
      <c r="AH75" s="310"/>
      <c r="AI75" s="310"/>
    </row>
    <row r="76" spans="1:35" s="533" customFormat="1" ht="32.1" customHeight="1">
      <c r="A76" s="288"/>
      <c r="B76" s="520"/>
      <c r="C76" s="521"/>
      <c r="D76" s="523">
        <f t="shared" si="1"/>
        <v>0</v>
      </c>
      <c r="E76" s="318" t="str">
        <f>VLOOKUP("[m]",Sprachindex!$A:$Z,Haftungsausschluß!$O$6,FALSE)</f>
        <v>[m]</v>
      </c>
      <c r="F76" s="318" t="str">
        <f>IF($L$14=1,Preisliste!$E$16,Preisliste!$F$16)</f>
        <v>H801001</v>
      </c>
      <c r="G76" s="988" t="str">
        <f>VLOOKUP("Dammbalken 80/200 exkl. Dichtung, gesägt und entgratet",Sprachindex!$A:$Z,Haftungsausschluß!$O$6,FALSE) &amp; " (" &amp; ROUNDUP(C76/1000*7.78,2) &amp; " " &amp; VLOOKUP("kg/Stk",Sprachindex!$A:$Z,Haftungsausschluß!$O$6,FALSE) &amp; ")" &amp; IF('Kalkulation 1'!AH33," " &amp; H3,"")</f>
        <v>Dammbalken 80/200 exkl. Dichtung, gesägt und entgratet (0 kg/Stk)</v>
      </c>
      <c r="H76" s="989"/>
      <c r="I76" s="989"/>
      <c r="J76" s="989"/>
      <c r="K76" s="989"/>
      <c r="L76" s="989"/>
      <c r="M76" s="990"/>
      <c r="N76" s="552"/>
      <c r="O76" s="550">
        <f t="shared" si="5"/>
        <v>0</v>
      </c>
      <c r="P76" s="677"/>
      <c r="Q76" s="327"/>
      <c r="R76" s="610">
        <f t="shared" si="0"/>
        <v>0</v>
      </c>
      <c r="S76" s="321"/>
      <c r="T76" s="321"/>
      <c r="U76" s="321"/>
      <c r="V76" s="321"/>
      <c r="W76" s="321"/>
      <c r="X76" s="321"/>
      <c r="Y76" s="321"/>
      <c r="Z76" s="321"/>
      <c r="AA76" s="321"/>
      <c r="AB76" s="321"/>
      <c r="AC76" s="321"/>
      <c r="AD76" s="321"/>
      <c r="AE76" s="321"/>
      <c r="AF76" s="321"/>
      <c r="AG76" s="321"/>
      <c r="AH76" s="321"/>
      <c r="AI76" s="321"/>
    </row>
    <row r="77" spans="1:35" ht="32.1" customHeight="1">
      <c r="B77" s="520"/>
      <c r="C77" s="521"/>
      <c r="D77" s="523">
        <f t="shared" si="1"/>
        <v>0</v>
      </c>
      <c r="E77" s="318" t="str">
        <f>VLOOKUP("[m]",Sprachindex!$A:$Z,Haftungsausschluß!$O$6,FALSE)</f>
        <v>[m]</v>
      </c>
      <c r="F77" s="318" t="str">
        <f>IF($L$14=1,Preisliste!$E$16,Preisliste!$F$16)</f>
        <v>H801001</v>
      </c>
      <c r="G77" s="988" t="str">
        <f>VLOOKUP("Dammbalken 80/200 exkl. Dichtung, gesägt und entgratet",Sprachindex!$A:$Z,Haftungsausschluß!$O$6,FALSE) &amp; " (" &amp; ROUNDUP(C77/1000*7.78,2) &amp; " " &amp; VLOOKUP("kg/Stk",Sprachindex!$A:$Z,Haftungsausschluß!$O$6,FALSE) &amp; ")" &amp; IF('Kalkulation 1'!AH33," " &amp; H3,"")</f>
        <v>Dammbalken 80/200 exkl. Dichtung, gesägt und entgratet (0 kg/Stk)</v>
      </c>
      <c r="H77" s="989"/>
      <c r="I77" s="989"/>
      <c r="J77" s="989"/>
      <c r="K77" s="989"/>
      <c r="L77" s="989"/>
      <c r="M77" s="990"/>
      <c r="N77" s="519"/>
      <c r="O77" s="518">
        <f t="shared" ref="O77:O96" si="6">N77*D77</f>
        <v>0</v>
      </c>
      <c r="Q77" s="327"/>
      <c r="R77" s="610">
        <f t="shared" si="0"/>
        <v>0</v>
      </c>
      <c r="S77" s="310"/>
      <c r="T77" s="310"/>
      <c r="U77" s="310"/>
      <c r="V77" s="310"/>
      <c r="W77" s="310"/>
      <c r="X77" s="310"/>
      <c r="Y77" s="310"/>
      <c r="Z77" s="310"/>
      <c r="AA77" s="310"/>
      <c r="AB77" s="310"/>
      <c r="AC77" s="310"/>
      <c r="AD77" s="310"/>
      <c r="AE77" s="310"/>
      <c r="AF77" s="310"/>
      <c r="AG77" s="310"/>
      <c r="AH77" s="310"/>
      <c r="AI77" s="310"/>
    </row>
    <row r="78" spans="1:35" ht="32.1" customHeight="1">
      <c r="B78" s="520"/>
      <c r="C78" s="521"/>
      <c r="D78" s="523">
        <f t="shared" si="1"/>
        <v>0</v>
      </c>
      <c r="E78" s="318" t="str">
        <f>VLOOKUP("[m]",Sprachindex!$A:$Z,Haftungsausschluß!$O$6,FALSE)</f>
        <v>[m]</v>
      </c>
      <c r="F78" s="318" t="str">
        <f>IF($L$14=1,Preisliste!$E$16,Preisliste!$F$16)</f>
        <v>H801001</v>
      </c>
      <c r="G78" s="988" t="str">
        <f>VLOOKUP("Dammbalken 80/200 exkl. Dichtung, gesägt und entgratet",Sprachindex!$A:$Z,Haftungsausschluß!$O$6,FALSE) &amp; " (" &amp; ROUNDUP(C78/1000*7.78,2) &amp; " " &amp; VLOOKUP("kg/Stk",Sprachindex!$A:$Z,Haftungsausschluß!$O$6,FALSE) &amp; ")" &amp; IF('Kalkulation 1'!AH33," " &amp; H3,"")</f>
        <v>Dammbalken 80/200 exkl. Dichtung, gesägt und entgratet (0 kg/Stk)</v>
      </c>
      <c r="H78" s="989"/>
      <c r="I78" s="989"/>
      <c r="J78" s="989"/>
      <c r="K78" s="989"/>
      <c r="L78" s="989"/>
      <c r="M78" s="990"/>
      <c r="N78" s="519"/>
      <c r="O78" s="518">
        <f t="shared" si="6"/>
        <v>0</v>
      </c>
      <c r="Q78" s="327"/>
      <c r="R78" s="610">
        <f t="shared" si="0"/>
        <v>0</v>
      </c>
      <c r="S78" s="310"/>
      <c r="T78" s="310"/>
      <c r="U78" s="310"/>
      <c r="V78" s="310"/>
      <c r="W78" s="310"/>
      <c r="X78" s="310"/>
      <c r="Y78" s="310"/>
      <c r="Z78" s="310"/>
      <c r="AA78" s="310"/>
      <c r="AB78" s="310"/>
      <c r="AC78" s="310"/>
      <c r="AD78" s="310"/>
      <c r="AE78" s="310"/>
      <c r="AF78" s="310"/>
      <c r="AG78" s="310"/>
      <c r="AH78" s="310"/>
      <c r="AI78" s="310"/>
    </row>
    <row r="79" spans="1:35" ht="32.1" customHeight="1">
      <c r="B79" s="520"/>
      <c r="C79" s="521"/>
      <c r="D79" s="523">
        <f t="shared" si="1"/>
        <v>0</v>
      </c>
      <c r="E79" s="318" t="str">
        <f>VLOOKUP("[m]",Sprachindex!$A:$Z,Haftungsausschluß!$O$6,FALSE)</f>
        <v>[m]</v>
      </c>
      <c r="F79" s="318" t="str">
        <f>IF($L$14=1,Preisliste!$E$16,Preisliste!$F$16)</f>
        <v>H801001</v>
      </c>
      <c r="G79" s="988" t="str">
        <f>VLOOKUP("Dammbalken 80/200 exkl. Dichtung, gesägt und entgratet",Sprachindex!$A:$Z,Haftungsausschluß!$O$6,FALSE) &amp; " (" &amp; ROUNDUP(C79/1000*7.78,2) &amp; " " &amp; VLOOKUP("kg/Stk",Sprachindex!$A:$Z,Haftungsausschluß!$O$6,FALSE) &amp; ")" &amp; IF('Kalkulation 1'!AH33," " &amp; H3,"")</f>
        <v>Dammbalken 80/200 exkl. Dichtung, gesägt und entgratet (0 kg/Stk)</v>
      </c>
      <c r="H79" s="989"/>
      <c r="I79" s="989"/>
      <c r="J79" s="989"/>
      <c r="K79" s="989"/>
      <c r="L79" s="989"/>
      <c r="M79" s="990"/>
      <c r="N79" s="519"/>
      <c r="O79" s="518">
        <f t="shared" si="6"/>
        <v>0</v>
      </c>
      <c r="Q79" s="327"/>
      <c r="R79" s="610">
        <f t="shared" si="0"/>
        <v>0</v>
      </c>
      <c r="S79" s="310"/>
      <c r="T79" s="310"/>
      <c r="U79" s="310"/>
      <c r="V79" s="310"/>
      <c r="W79" s="310"/>
      <c r="X79" s="310"/>
      <c r="Y79" s="310"/>
      <c r="Z79" s="310"/>
      <c r="AA79" s="310"/>
      <c r="AB79" s="310"/>
      <c r="AC79" s="310"/>
      <c r="AD79" s="310"/>
      <c r="AE79" s="310"/>
      <c r="AF79" s="310"/>
      <c r="AG79" s="310"/>
      <c r="AH79" s="310"/>
      <c r="AI79" s="310"/>
    </row>
    <row r="80" spans="1:35" ht="32.1" customHeight="1">
      <c r="B80" s="520"/>
      <c r="C80" s="521"/>
      <c r="D80" s="523">
        <f t="shared" si="1"/>
        <v>0</v>
      </c>
      <c r="E80" s="318" t="str">
        <f>VLOOKUP("[m]",Sprachindex!$A:$Z,Haftungsausschluß!$O$6,FALSE)</f>
        <v>[m]</v>
      </c>
      <c r="F80" s="318" t="str">
        <f>IF($L$14=1,Preisliste!$E$16,Preisliste!$F$16)</f>
        <v>H801001</v>
      </c>
      <c r="G80" s="988" t="str">
        <f>VLOOKUP("Dammbalken 80/200 exkl. Dichtung, gesägt und entgratet",Sprachindex!$A:$Z,Haftungsausschluß!$O$6,FALSE) &amp; " (" &amp; ROUNDUP(C80/1000*7.78,2) &amp; " " &amp; VLOOKUP("kg/Stk",Sprachindex!$A:$Z,Haftungsausschluß!$O$6,FALSE) &amp; ")" &amp; IF('Kalkulation 1'!AH33," " &amp; H3,"")</f>
        <v>Dammbalken 80/200 exkl. Dichtung, gesägt und entgratet (0 kg/Stk)</v>
      </c>
      <c r="H80" s="989"/>
      <c r="I80" s="989"/>
      <c r="J80" s="989"/>
      <c r="K80" s="989"/>
      <c r="L80" s="989"/>
      <c r="M80" s="990"/>
      <c r="N80" s="519"/>
      <c r="O80" s="518">
        <f t="shared" si="6"/>
        <v>0</v>
      </c>
      <c r="Q80" s="327"/>
      <c r="R80" s="610">
        <f t="shared" si="0"/>
        <v>0</v>
      </c>
      <c r="S80" s="310"/>
      <c r="T80" s="310"/>
      <c r="U80" s="310"/>
      <c r="V80" s="310"/>
      <c r="W80" s="310"/>
      <c r="X80" s="310"/>
      <c r="Y80" s="310"/>
      <c r="Z80" s="310"/>
      <c r="AA80" s="310"/>
      <c r="AB80" s="310"/>
      <c r="AC80" s="310"/>
      <c r="AD80" s="310"/>
      <c r="AE80" s="310"/>
      <c r="AF80" s="310"/>
      <c r="AG80" s="310"/>
      <c r="AH80" s="310"/>
      <c r="AI80" s="310"/>
    </row>
    <row r="81" spans="2:35" ht="32.1" customHeight="1">
      <c r="B81" s="520"/>
      <c r="C81" s="521"/>
      <c r="D81" s="523">
        <f t="shared" si="1"/>
        <v>0</v>
      </c>
      <c r="E81" s="318" t="str">
        <f>VLOOKUP("[m]",Sprachindex!$A:$Z,Haftungsausschluß!$O$6,FALSE)</f>
        <v>[m]</v>
      </c>
      <c r="F81" s="318" t="str">
        <f>IF($L$14=1,Preisliste!$E$16,Preisliste!$F$16)</f>
        <v>H801001</v>
      </c>
      <c r="G81" s="988" t="str">
        <f>VLOOKUP("Dammbalken 80/200 exkl. Dichtung, gesägt und entgratet",Sprachindex!$A:$Z,Haftungsausschluß!$O$6,FALSE) &amp; " (" &amp; ROUNDUP(C81/1000*7.78,2) &amp; " " &amp; VLOOKUP("kg/Stk",Sprachindex!$A:$Z,Haftungsausschluß!$O$6,FALSE) &amp; ")" &amp; IF('Kalkulation 1'!AH33," " &amp; H3,"")</f>
        <v>Dammbalken 80/200 exkl. Dichtung, gesägt und entgratet (0 kg/Stk)</v>
      </c>
      <c r="H81" s="989"/>
      <c r="I81" s="989"/>
      <c r="J81" s="989"/>
      <c r="K81" s="989"/>
      <c r="L81" s="989"/>
      <c r="M81" s="990"/>
      <c r="N81" s="519"/>
      <c r="O81" s="518">
        <f t="shared" si="6"/>
        <v>0</v>
      </c>
      <c r="Q81" s="327"/>
      <c r="R81" s="610">
        <f t="shared" ref="R81:R95" si="7">C81</f>
        <v>0</v>
      </c>
      <c r="S81" s="310"/>
      <c r="T81" s="310"/>
      <c r="U81" s="310"/>
      <c r="V81" s="310"/>
      <c r="W81" s="310"/>
      <c r="X81" s="310"/>
      <c r="Y81" s="310"/>
      <c r="Z81" s="310"/>
      <c r="AA81" s="310"/>
      <c r="AB81" s="310"/>
      <c r="AC81" s="310"/>
      <c r="AD81" s="310"/>
      <c r="AE81" s="310"/>
      <c r="AF81" s="310"/>
      <c r="AG81" s="310"/>
      <c r="AH81" s="310"/>
      <c r="AI81" s="310"/>
    </row>
    <row r="82" spans="2:35" ht="32.1" customHeight="1">
      <c r="B82" s="520"/>
      <c r="C82" s="521"/>
      <c r="D82" s="523">
        <f t="shared" ref="D82:D95" si="8">B82*C82/1000</f>
        <v>0</v>
      </c>
      <c r="E82" s="318" t="str">
        <f>VLOOKUP("[m]",Sprachindex!$A:$Z,Haftungsausschluß!$O$6,FALSE)</f>
        <v>[m]</v>
      </c>
      <c r="F82" s="318" t="str">
        <f>IF($L$14=1,Preisliste!$E$16,Preisliste!$F$16)</f>
        <v>H801001</v>
      </c>
      <c r="G82" s="988" t="str">
        <f>VLOOKUP("Dammbalken 80/200 exkl. Dichtung, gesägt und entgratet",Sprachindex!$A:$Z,Haftungsausschluß!$O$6,FALSE) &amp; " (" &amp; ROUNDUP(C82/1000*7.78,2) &amp; " " &amp; VLOOKUP("kg/Stk",Sprachindex!$A:$Z,Haftungsausschluß!$O$6,FALSE) &amp; ")" &amp; IF('Kalkulation 1'!AH33," " &amp; H3,"")</f>
        <v>Dammbalken 80/200 exkl. Dichtung, gesägt und entgratet (0 kg/Stk)</v>
      </c>
      <c r="H82" s="989"/>
      <c r="I82" s="989"/>
      <c r="J82" s="989"/>
      <c r="K82" s="989"/>
      <c r="L82" s="989"/>
      <c r="M82" s="990"/>
      <c r="N82" s="519"/>
      <c r="O82" s="518">
        <f t="shared" si="6"/>
        <v>0</v>
      </c>
      <c r="Q82" s="327"/>
      <c r="R82" s="610">
        <f t="shared" si="7"/>
        <v>0</v>
      </c>
      <c r="S82" s="310"/>
      <c r="T82" s="310"/>
      <c r="U82" s="310"/>
      <c r="V82" s="310"/>
      <c r="W82" s="310"/>
      <c r="X82" s="310"/>
      <c r="Y82" s="310"/>
      <c r="Z82" s="310"/>
      <c r="AA82" s="310"/>
      <c r="AB82" s="310"/>
      <c r="AC82" s="310"/>
      <c r="AD82" s="310"/>
      <c r="AE82" s="310"/>
      <c r="AF82" s="310"/>
      <c r="AG82" s="310"/>
      <c r="AH82" s="310"/>
      <c r="AI82" s="310"/>
    </row>
    <row r="83" spans="2:35" ht="32.1" customHeight="1">
      <c r="B83" s="520"/>
      <c r="C83" s="521"/>
      <c r="D83" s="523">
        <f t="shared" si="8"/>
        <v>0</v>
      </c>
      <c r="E83" s="318" t="str">
        <f>VLOOKUP("[m]",Sprachindex!$A:$Z,Haftungsausschluß!$O$6,FALSE)</f>
        <v>[m]</v>
      </c>
      <c r="F83" s="318" t="str">
        <f>IF($L$14=1,Preisliste!$E$16,Preisliste!$F$16)</f>
        <v>H801001</v>
      </c>
      <c r="G83" s="988" t="str">
        <f>VLOOKUP("Dammbalken 80/200 exkl. Dichtung, gesägt und entgratet",Sprachindex!$A:$Z,Haftungsausschluß!$O$6,FALSE) &amp; " (" &amp; ROUNDUP(C83/1000*7.78,2) &amp; " " &amp; VLOOKUP("kg/Stk",Sprachindex!$A:$Z,Haftungsausschluß!$O$6,FALSE) &amp; ")" &amp; IF('Kalkulation 1'!AH33," " &amp; H3,"")</f>
        <v>Dammbalken 80/200 exkl. Dichtung, gesägt und entgratet (0 kg/Stk)</v>
      </c>
      <c r="H83" s="989"/>
      <c r="I83" s="989"/>
      <c r="J83" s="989"/>
      <c r="K83" s="989"/>
      <c r="L83" s="989"/>
      <c r="M83" s="990"/>
      <c r="N83" s="519"/>
      <c r="O83" s="518">
        <f t="shared" si="6"/>
        <v>0</v>
      </c>
      <c r="Q83" s="327"/>
      <c r="R83" s="610">
        <f t="shared" si="7"/>
        <v>0</v>
      </c>
      <c r="S83" s="310"/>
      <c r="T83" s="310"/>
      <c r="U83" s="310"/>
      <c r="V83" s="310"/>
      <c r="W83" s="310"/>
      <c r="X83" s="310"/>
      <c r="Y83" s="310"/>
      <c r="Z83" s="310"/>
      <c r="AA83" s="310"/>
      <c r="AB83" s="310"/>
      <c r="AC83" s="310"/>
      <c r="AD83" s="310"/>
      <c r="AE83" s="310"/>
      <c r="AF83" s="310"/>
      <c r="AG83" s="310"/>
      <c r="AH83" s="310"/>
      <c r="AI83" s="310"/>
    </row>
    <row r="84" spans="2:35" ht="32.1" customHeight="1">
      <c r="B84" s="520"/>
      <c r="C84" s="521"/>
      <c r="D84" s="523">
        <f t="shared" si="8"/>
        <v>0</v>
      </c>
      <c r="E84" s="318" t="str">
        <f>VLOOKUP("[m]",Sprachindex!$A:$Z,Haftungsausschluß!$O$6,FALSE)</f>
        <v>[m]</v>
      </c>
      <c r="F84" s="318" t="str">
        <f>IF($L$14=1,Preisliste!$E$16,Preisliste!$F$16)</f>
        <v>H801001</v>
      </c>
      <c r="G84" s="988" t="str">
        <f>VLOOKUP("Dammbalken 80/200 exkl. Dichtung, gesägt und entgratet",Sprachindex!$A:$Z,Haftungsausschluß!$O$6,FALSE) &amp; " (" &amp; ROUNDUP(C84/1000*7.78,2) &amp; " " &amp; VLOOKUP("kg/Stk",Sprachindex!$A:$Z,Haftungsausschluß!$O$6,FALSE) &amp; ")" &amp; IF('Kalkulation 1'!AH33," " &amp; H3,"")</f>
        <v>Dammbalken 80/200 exkl. Dichtung, gesägt und entgratet (0 kg/Stk)</v>
      </c>
      <c r="H84" s="989"/>
      <c r="I84" s="989"/>
      <c r="J84" s="989"/>
      <c r="K84" s="989"/>
      <c r="L84" s="989"/>
      <c r="M84" s="990"/>
      <c r="N84" s="519"/>
      <c r="O84" s="518">
        <f t="shared" si="6"/>
        <v>0</v>
      </c>
      <c r="Q84" s="327"/>
      <c r="R84" s="610">
        <f t="shared" si="7"/>
        <v>0</v>
      </c>
      <c r="S84" s="310"/>
      <c r="T84" s="310"/>
      <c r="U84" s="310"/>
      <c r="V84" s="310"/>
      <c r="W84" s="310"/>
      <c r="X84" s="310"/>
      <c r="Y84" s="310"/>
      <c r="Z84" s="310"/>
      <c r="AA84" s="310"/>
      <c r="AB84" s="310"/>
      <c r="AC84" s="310"/>
      <c r="AD84" s="310"/>
      <c r="AE84" s="310"/>
      <c r="AF84" s="310"/>
      <c r="AG84" s="310"/>
      <c r="AH84" s="310"/>
      <c r="AI84" s="310"/>
    </row>
    <row r="85" spans="2:35" ht="32.1" customHeight="1">
      <c r="B85" s="520"/>
      <c r="C85" s="521"/>
      <c r="D85" s="523">
        <f t="shared" si="8"/>
        <v>0</v>
      </c>
      <c r="E85" s="318" t="str">
        <f>VLOOKUP("[m]",Sprachindex!$A:$Z,Haftungsausschluß!$O$6,FALSE)</f>
        <v>[m]</v>
      </c>
      <c r="F85" s="318" t="str">
        <f>IF($L$14=1,Preisliste!$E$16,Preisliste!$F$16)</f>
        <v>H801001</v>
      </c>
      <c r="G85" s="988" t="str">
        <f>VLOOKUP("Dammbalken 80/200 exkl. Dichtung, gesägt und entgratet",Sprachindex!$A:$Z,Haftungsausschluß!$O$6,FALSE) &amp; " (" &amp; ROUNDUP(C85/1000*7.78,2) &amp; " " &amp; VLOOKUP("kg/Stk",Sprachindex!$A:$Z,Haftungsausschluß!$O$6,FALSE) &amp; ")" &amp; IF('Kalkulation 1'!AH33," " &amp; H3,"")</f>
        <v>Dammbalken 80/200 exkl. Dichtung, gesägt und entgratet (0 kg/Stk)</v>
      </c>
      <c r="H85" s="989"/>
      <c r="I85" s="989"/>
      <c r="J85" s="989"/>
      <c r="K85" s="989"/>
      <c r="L85" s="989"/>
      <c r="M85" s="990"/>
      <c r="N85" s="519"/>
      <c r="O85" s="518">
        <f t="shared" si="6"/>
        <v>0</v>
      </c>
      <c r="Q85" s="327"/>
      <c r="R85" s="610">
        <f t="shared" si="7"/>
        <v>0</v>
      </c>
      <c r="S85" s="310"/>
      <c r="T85" s="310"/>
      <c r="U85" s="310"/>
      <c r="V85" s="310"/>
      <c r="W85" s="310"/>
      <c r="X85" s="310"/>
      <c r="Y85" s="310"/>
      <c r="Z85" s="310"/>
      <c r="AA85" s="310"/>
      <c r="AB85" s="310"/>
      <c r="AC85" s="310"/>
      <c r="AD85" s="310"/>
      <c r="AE85" s="310"/>
      <c r="AF85" s="310"/>
      <c r="AG85" s="310"/>
      <c r="AH85" s="310"/>
      <c r="AI85" s="310"/>
    </row>
    <row r="86" spans="2:35" ht="32.1" customHeight="1">
      <c r="B86" s="520"/>
      <c r="C86" s="521"/>
      <c r="D86" s="523">
        <f t="shared" si="8"/>
        <v>0</v>
      </c>
      <c r="E86" s="318" t="str">
        <f>VLOOKUP("[m]",Sprachindex!$A:$Z,Haftungsausschluß!$O$6,FALSE)</f>
        <v>[m]</v>
      </c>
      <c r="F86" s="318" t="str">
        <f>IF($L$14=1,Preisliste!$E$16,Preisliste!$F$16)</f>
        <v>H801001</v>
      </c>
      <c r="G86" s="988" t="str">
        <f>VLOOKUP("Dammbalken 80/200 exkl. Dichtung, gesägt und entgratet",Sprachindex!$A:$Z,Haftungsausschluß!$O$6,FALSE) &amp; " (" &amp; ROUNDUP(C86/1000*7.78,2) &amp; " " &amp; VLOOKUP("kg/Stk",Sprachindex!$A:$Z,Haftungsausschluß!$O$6,FALSE) &amp; ")" &amp; IF('Kalkulation 1'!AH33," " &amp; H3,"")</f>
        <v>Dammbalken 80/200 exkl. Dichtung, gesägt und entgratet (0 kg/Stk)</v>
      </c>
      <c r="H86" s="989"/>
      <c r="I86" s="989"/>
      <c r="J86" s="989"/>
      <c r="K86" s="989"/>
      <c r="L86" s="989"/>
      <c r="M86" s="990"/>
      <c r="N86" s="519"/>
      <c r="O86" s="518">
        <f t="shared" si="6"/>
        <v>0</v>
      </c>
      <c r="Q86" s="327"/>
      <c r="R86" s="610">
        <f t="shared" si="7"/>
        <v>0</v>
      </c>
      <c r="S86" s="310"/>
      <c r="T86" s="310"/>
      <c r="U86" s="310"/>
      <c r="V86" s="310"/>
      <c r="W86" s="310"/>
      <c r="X86" s="310"/>
      <c r="Y86" s="310"/>
      <c r="Z86" s="310"/>
      <c r="AA86" s="310"/>
      <c r="AB86" s="310"/>
      <c r="AC86" s="310"/>
      <c r="AD86" s="310"/>
      <c r="AE86" s="310"/>
      <c r="AF86" s="310"/>
      <c r="AG86" s="310"/>
      <c r="AH86" s="310"/>
      <c r="AI86" s="310"/>
    </row>
    <row r="87" spans="2:35" ht="32.1" customHeight="1">
      <c r="B87" s="520"/>
      <c r="C87" s="521"/>
      <c r="D87" s="523">
        <f t="shared" si="8"/>
        <v>0</v>
      </c>
      <c r="E87" s="318" t="str">
        <f>VLOOKUP("[m]",Sprachindex!$A:$Z,Haftungsausschluß!$O$6,FALSE)</f>
        <v>[m]</v>
      </c>
      <c r="F87" s="318" t="str">
        <f>IF($L$14=1,Preisliste!$E$16,Preisliste!$F$16)</f>
        <v>H801001</v>
      </c>
      <c r="G87" s="988" t="str">
        <f>VLOOKUP("Dammbalken 80/200 exkl. Dichtung, gesägt und entgratet",Sprachindex!$A:$Z,Haftungsausschluß!$O$6,FALSE) &amp; " (" &amp; ROUNDUP(C87/1000*7.78,2) &amp; " " &amp; VLOOKUP("kg/Stk",Sprachindex!$A:$Z,Haftungsausschluß!$O$6,FALSE) &amp; ")" &amp; IF('Kalkulation 1'!AH33," " &amp; H3,"")</f>
        <v>Dammbalken 80/200 exkl. Dichtung, gesägt und entgratet (0 kg/Stk)</v>
      </c>
      <c r="H87" s="989"/>
      <c r="I87" s="989"/>
      <c r="J87" s="989"/>
      <c r="K87" s="989"/>
      <c r="L87" s="989"/>
      <c r="M87" s="990"/>
      <c r="N87" s="519"/>
      <c r="O87" s="518">
        <f t="shared" si="6"/>
        <v>0</v>
      </c>
      <c r="Q87" s="327"/>
      <c r="R87" s="610">
        <f t="shared" si="7"/>
        <v>0</v>
      </c>
      <c r="S87" s="310"/>
      <c r="T87" s="310"/>
      <c r="U87" s="310"/>
      <c r="V87" s="310"/>
      <c r="W87" s="310"/>
      <c r="X87" s="310"/>
      <c r="Y87" s="310"/>
      <c r="Z87" s="310"/>
      <c r="AA87" s="310"/>
      <c r="AB87" s="310"/>
      <c r="AC87" s="310"/>
      <c r="AD87" s="310"/>
      <c r="AE87" s="310"/>
      <c r="AF87" s="310"/>
      <c r="AG87" s="310"/>
      <c r="AH87" s="310"/>
      <c r="AI87" s="310"/>
    </row>
    <row r="88" spans="2:35" ht="32.1" customHeight="1">
      <c r="B88" s="520"/>
      <c r="C88" s="521"/>
      <c r="D88" s="523">
        <f t="shared" si="8"/>
        <v>0</v>
      </c>
      <c r="E88" s="318" t="str">
        <f>VLOOKUP("[m]",Sprachindex!$A:$Z,Haftungsausschluß!$O$6,FALSE)</f>
        <v>[m]</v>
      </c>
      <c r="F88" s="318" t="str">
        <f>IF($L$14=1,Preisliste!$E$16,Preisliste!$F$16)</f>
        <v>H801001</v>
      </c>
      <c r="G88" s="988" t="str">
        <f>VLOOKUP("Dammbalken 80/200 exkl. Dichtung, gesägt und entgratet",Sprachindex!$A:$Z,Haftungsausschluß!$O$6,FALSE) &amp; " (" &amp; ROUNDUP(C88/1000*7.78,2) &amp; " " &amp; VLOOKUP("kg/Stk",Sprachindex!$A:$Z,Haftungsausschluß!$O$6,FALSE) &amp; ")" &amp; IF('Kalkulation 1'!AH33," " &amp; H3,"")</f>
        <v>Dammbalken 80/200 exkl. Dichtung, gesägt und entgratet (0 kg/Stk)</v>
      </c>
      <c r="H88" s="989"/>
      <c r="I88" s="989"/>
      <c r="J88" s="989"/>
      <c r="K88" s="989"/>
      <c r="L88" s="989"/>
      <c r="M88" s="990"/>
      <c r="N88" s="519"/>
      <c r="O88" s="518">
        <f t="shared" si="6"/>
        <v>0</v>
      </c>
      <c r="Q88" s="327"/>
      <c r="R88" s="610">
        <f t="shared" si="7"/>
        <v>0</v>
      </c>
      <c r="S88" s="310"/>
      <c r="T88" s="310"/>
      <c r="U88" s="310"/>
      <c r="V88" s="310"/>
      <c r="W88" s="310"/>
      <c r="X88" s="310"/>
      <c r="Y88" s="310"/>
      <c r="Z88" s="310"/>
      <c r="AA88" s="310"/>
      <c r="AB88" s="310"/>
      <c r="AC88" s="310"/>
      <c r="AD88" s="310"/>
      <c r="AE88" s="310"/>
      <c r="AF88" s="310"/>
      <c r="AG88" s="310"/>
      <c r="AH88" s="310"/>
      <c r="AI88" s="310"/>
    </row>
    <row r="89" spans="2:35" ht="32.1" customHeight="1">
      <c r="B89" s="520"/>
      <c r="C89" s="521"/>
      <c r="D89" s="523">
        <f t="shared" si="8"/>
        <v>0</v>
      </c>
      <c r="E89" s="318" t="str">
        <f>VLOOKUP("[m]",Sprachindex!$A:$Z,Haftungsausschluß!$O$6,FALSE)</f>
        <v>[m]</v>
      </c>
      <c r="F89" s="318" t="str">
        <f>IF($L$14=1,Preisliste!$E$16,Preisliste!$F$16)</f>
        <v>H801001</v>
      </c>
      <c r="G89" s="988" t="str">
        <f>VLOOKUP("Dammbalken 80/200 exkl. Dichtung, gesägt und entgratet",Sprachindex!$A:$Z,Haftungsausschluß!$O$6,FALSE) &amp; " (" &amp; ROUNDUP(C89/1000*7.78,2) &amp; " " &amp; VLOOKUP("kg/Stk",Sprachindex!$A:$Z,Haftungsausschluß!$O$6,FALSE) &amp; ")" &amp; IF('Kalkulation 1'!AH33," " &amp; H3,"")</f>
        <v>Dammbalken 80/200 exkl. Dichtung, gesägt und entgratet (0 kg/Stk)</v>
      </c>
      <c r="H89" s="989"/>
      <c r="I89" s="989"/>
      <c r="J89" s="989"/>
      <c r="K89" s="989"/>
      <c r="L89" s="989"/>
      <c r="M89" s="990"/>
      <c r="N89" s="519"/>
      <c r="O89" s="518">
        <f t="shared" si="6"/>
        <v>0</v>
      </c>
      <c r="Q89" s="327"/>
      <c r="R89" s="610">
        <f t="shared" si="7"/>
        <v>0</v>
      </c>
      <c r="S89" s="310"/>
      <c r="T89" s="310"/>
      <c r="U89" s="310"/>
      <c r="V89" s="310"/>
      <c r="W89" s="310"/>
      <c r="X89" s="310"/>
      <c r="Y89" s="310"/>
      <c r="Z89" s="310"/>
      <c r="AA89" s="310"/>
      <c r="AB89" s="310"/>
      <c r="AC89" s="310"/>
      <c r="AD89" s="310"/>
      <c r="AE89" s="310"/>
      <c r="AF89" s="310"/>
      <c r="AG89" s="310"/>
      <c r="AH89" s="310"/>
      <c r="AI89" s="310"/>
    </row>
    <row r="90" spans="2:35" ht="32.1" customHeight="1">
      <c r="B90" s="520"/>
      <c r="C90" s="521"/>
      <c r="D90" s="523">
        <f t="shared" si="8"/>
        <v>0</v>
      </c>
      <c r="E90" s="318" t="str">
        <f>VLOOKUP("[m]",Sprachindex!$A:$Z,Haftungsausschluß!$O$6,FALSE)</f>
        <v>[m]</v>
      </c>
      <c r="F90" s="318" t="str">
        <f>IF($L$14=1,Preisliste!$E$16,Preisliste!$F$16)</f>
        <v>H801001</v>
      </c>
      <c r="G90" s="988" t="str">
        <f>VLOOKUP("Dammbalken 80/200 exkl. Dichtung, gesägt und entgratet",Sprachindex!$A:$Z,Haftungsausschluß!$O$6,FALSE) &amp; " (" &amp; ROUNDUP(C90/1000*7.78,2) &amp; " " &amp; VLOOKUP("kg/Stk",Sprachindex!$A:$Z,Haftungsausschluß!$O$6,FALSE) &amp; ")" &amp; IF('Kalkulation 1'!AH33," " &amp; H3,"")</f>
        <v>Dammbalken 80/200 exkl. Dichtung, gesägt und entgratet (0 kg/Stk)</v>
      </c>
      <c r="H90" s="989"/>
      <c r="I90" s="989"/>
      <c r="J90" s="989"/>
      <c r="K90" s="989"/>
      <c r="L90" s="989"/>
      <c r="M90" s="990"/>
      <c r="N90" s="519"/>
      <c r="O90" s="518">
        <f t="shared" si="6"/>
        <v>0</v>
      </c>
      <c r="Q90" s="327"/>
      <c r="R90" s="610">
        <f t="shared" si="7"/>
        <v>0</v>
      </c>
      <c r="S90" s="310"/>
      <c r="T90" s="310"/>
      <c r="U90" s="310"/>
      <c r="V90" s="310"/>
      <c r="W90" s="310"/>
      <c r="X90" s="310"/>
      <c r="Y90" s="310"/>
      <c r="Z90" s="310"/>
      <c r="AA90" s="310"/>
      <c r="AB90" s="310"/>
      <c r="AC90" s="310"/>
      <c r="AD90" s="310"/>
      <c r="AE90" s="310"/>
      <c r="AF90" s="310"/>
      <c r="AG90" s="310"/>
      <c r="AH90" s="310"/>
      <c r="AI90" s="310"/>
    </row>
    <row r="91" spans="2:35" ht="32.1" customHeight="1">
      <c r="B91" s="520"/>
      <c r="C91" s="521"/>
      <c r="D91" s="523">
        <f t="shared" si="8"/>
        <v>0</v>
      </c>
      <c r="E91" s="318" t="str">
        <f>VLOOKUP("[m]",Sprachindex!$A:$Z,Haftungsausschluß!$O$6,FALSE)</f>
        <v>[m]</v>
      </c>
      <c r="F91" s="318" t="str">
        <f>IF($L$14=1,Preisliste!$E$16,Preisliste!$F$16)</f>
        <v>H801001</v>
      </c>
      <c r="G91" s="988" t="str">
        <f>VLOOKUP("Dammbalken 80/200 exkl. Dichtung, gesägt und entgratet",Sprachindex!$A:$Z,Haftungsausschluß!$O$6,FALSE) &amp; " (" &amp; ROUNDUP(C91/1000*7.78,2) &amp; " " &amp; VLOOKUP("kg/Stk",Sprachindex!$A:$Z,Haftungsausschluß!$O$6,FALSE) &amp; ")" &amp; IF('Kalkulation 1'!AH33," " &amp; H3,"")</f>
        <v>Dammbalken 80/200 exkl. Dichtung, gesägt und entgratet (0 kg/Stk)</v>
      </c>
      <c r="H91" s="989"/>
      <c r="I91" s="989"/>
      <c r="J91" s="989"/>
      <c r="K91" s="989"/>
      <c r="L91" s="989"/>
      <c r="M91" s="990"/>
      <c r="N91" s="519"/>
      <c r="O91" s="518">
        <f t="shared" si="6"/>
        <v>0</v>
      </c>
      <c r="Q91" s="327"/>
      <c r="R91" s="610">
        <f t="shared" si="7"/>
        <v>0</v>
      </c>
      <c r="S91" s="310"/>
      <c r="T91" s="310"/>
      <c r="U91" s="310"/>
      <c r="V91" s="310"/>
      <c r="W91" s="310"/>
      <c r="X91" s="310"/>
      <c r="Y91" s="310"/>
      <c r="Z91" s="310"/>
      <c r="AA91" s="310"/>
      <c r="AB91" s="310"/>
      <c r="AC91" s="310"/>
      <c r="AD91" s="310"/>
      <c r="AE91" s="310"/>
      <c r="AF91" s="310"/>
      <c r="AG91" s="310"/>
      <c r="AH91" s="310"/>
      <c r="AI91" s="310"/>
    </row>
    <row r="92" spans="2:35" ht="32.1" customHeight="1">
      <c r="B92" s="520"/>
      <c r="C92" s="521"/>
      <c r="D92" s="523">
        <f t="shared" si="8"/>
        <v>0</v>
      </c>
      <c r="E92" s="318" t="str">
        <f>VLOOKUP("[m]",Sprachindex!$A:$Z,Haftungsausschluß!$O$6,FALSE)</f>
        <v>[m]</v>
      </c>
      <c r="F92" s="318" t="str">
        <f>IF($L$14=1,Preisliste!$E$16,Preisliste!$F$16)</f>
        <v>H801001</v>
      </c>
      <c r="G92" s="988" t="str">
        <f>VLOOKUP("Dammbalken 80/200 exkl. Dichtung, gesägt und entgratet",Sprachindex!$A:$Z,Haftungsausschluß!$O$6,FALSE) &amp; " (" &amp; ROUNDUP(C92/1000*7.78,2) &amp; " " &amp; VLOOKUP("kg/Stk",Sprachindex!$A:$Z,Haftungsausschluß!$O$6,FALSE) &amp; ")" &amp; IF('Kalkulation 1'!AH33," " &amp; H3,"")</f>
        <v>Dammbalken 80/200 exkl. Dichtung, gesägt und entgratet (0 kg/Stk)</v>
      </c>
      <c r="H92" s="989"/>
      <c r="I92" s="989"/>
      <c r="J92" s="989"/>
      <c r="K92" s="989"/>
      <c r="L92" s="989"/>
      <c r="M92" s="990"/>
      <c r="N92" s="519"/>
      <c r="O92" s="518">
        <f t="shared" si="6"/>
        <v>0</v>
      </c>
      <c r="Q92" s="327"/>
      <c r="R92" s="610">
        <f t="shared" si="7"/>
        <v>0</v>
      </c>
      <c r="S92" s="310"/>
      <c r="T92" s="310"/>
      <c r="U92" s="310"/>
      <c r="V92" s="310"/>
      <c r="W92" s="310"/>
      <c r="X92" s="310"/>
      <c r="Y92" s="310"/>
      <c r="Z92" s="310"/>
      <c r="AA92" s="310"/>
      <c r="AB92" s="310"/>
      <c r="AC92" s="310"/>
      <c r="AD92" s="310"/>
      <c r="AE92" s="310"/>
      <c r="AF92" s="310"/>
      <c r="AG92" s="310"/>
      <c r="AH92" s="310"/>
      <c r="AI92" s="310"/>
    </row>
    <row r="93" spans="2:35" ht="32.1" customHeight="1">
      <c r="B93" s="520"/>
      <c r="C93" s="521"/>
      <c r="D93" s="523">
        <f t="shared" si="8"/>
        <v>0</v>
      </c>
      <c r="E93" s="318" t="str">
        <f>VLOOKUP("[m]",Sprachindex!$A:$Z,Haftungsausschluß!$O$6,FALSE)</f>
        <v>[m]</v>
      </c>
      <c r="F93" s="318" t="str">
        <f>IF($L$14=1,Preisliste!$E$16,Preisliste!$F$16)</f>
        <v>H801001</v>
      </c>
      <c r="G93" s="988" t="str">
        <f>VLOOKUP("Dammbalken 80/200 exkl. Dichtung, gesägt und entgratet",Sprachindex!$A:$Z,Haftungsausschluß!$O$6,FALSE) &amp; " (" &amp; ROUNDUP(C93/1000*7.78,2) &amp; " " &amp; VLOOKUP("kg/Stk",Sprachindex!$A:$Z,Haftungsausschluß!$O$6,FALSE) &amp; ")" &amp; IF('Kalkulation 1'!AH33," " &amp; H3,"")</f>
        <v>Dammbalken 80/200 exkl. Dichtung, gesägt und entgratet (0 kg/Stk)</v>
      </c>
      <c r="H93" s="989"/>
      <c r="I93" s="989"/>
      <c r="J93" s="989"/>
      <c r="K93" s="989"/>
      <c r="L93" s="989"/>
      <c r="M93" s="990"/>
      <c r="N93" s="519"/>
      <c r="O93" s="518">
        <f t="shared" si="6"/>
        <v>0</v>
      </c>
      <c r="Q93" s="327"/>
      <c r="R93" s="610">
        <f t="shared" si="7"/>
        <v>0</v>
      </c>
      <c r="S93" s="310"/>
      <c r="T93" s="310"/>
      <c r="U93" s="310"/>
      <c r="V93" s="310"/>
      <c r="W93" s="310"/>
      <c r="X93" s="310"/>
      <c r="Y93" s="310"/>
      <c r="Z93" s="310"/>
      <c r="AA93" s="310"/>
      <c r="AB93" s="310"/>
      <c r="AC93" s="310"/>
      <c r="AD93" s="310"/>
      <c r="AE93" s="310"/>
      <c r="AF93" s="310"/>
      <c r="AG93" s="310"/>
      <c r="AH93" s="310"/>
      <c r="AI93" s="310"/>
    </row>
    <row r="94" spans="2:35" ht="32.1" customHeight="1">
      <c r="B94" s="520"/>
      <c r="C94" s="521"/>
      <c r="D94" s="523">
        <f t="shared" si="8"/>
        <v>0</v>
      </c>
      <c r="E94" s="318" t="str">
        <f>VLOOKUP("[m]",Sprachindex!$A:$Z,Haftungsausschluß!$O$6,FALSE)</f>
        <v>[m]</v>
      </c>
      <c r="F94" s="318" t="str">
        <f>IF($L$14=1,Preisliste!$E$16,Preisliste!$F$16)</f>
        <v>H801001</v>
      </c>
      <c r="G94" s="988" t="str">
        <f>VLOOKUP("Dammbalken 80/200 exkl. Dichtung, gesägt und entgratet",Sprachindex!$A:$Z,Haftungsausschluß!$O$6,FALSE) &amp; " (" &amp; ROUNDUP(C94/1000*7.78,2) &amp; " " &amp; VLOOKUP("kg/Stk",Sprachindex!$A:$Z,Haftungsausschluß!$O$6,FALSE) &amp; ")" &amp; IF('Kalkulation 1'!AH33," " &amp; H3,"")</f>
        <v>Dammbalken 80/200 exkl. Dichtung, gesägt und entgratet (0 kg/Stk)</v>
      </c>
      <c r="H94" s="989"/>
      <c r="I94" s="989"/>
      <c r="J94" s="989"/>
      <c r="K94" s="989"/>
      <c r="L94" s="989"/>
      <c r="M94" s="990"/>
      <c r="N94" s="519"/>
      <c r="O94" s="518">
        <f t="shared" si="6"/>
        <v>0</v>
      </c>
      <c r="Q94" s="327"/>
      <c r="R94" s="610">
        <f t="shared" si="7"/>
        <v>0</v>
      </c>
      <c r="S94" s="310"/>
      <c r="T94" s="310"/>
      <c r="U94" s="310"/>
      <c r="V94" s="310"/>
      <c r="W94" s="310"/>
      <c r="X94" s="310"/>
      <c r="Y94" s="310"/>
      <c r="Z94" s="310"/>
      <c r="AA94" s="310"/>
      <c r="AB94" s="310"/>
      <c r="AC94" s="310"/>
      <c r="AD94" s="310"/>
      <c r="AE94" s="310"/>
      <c r="AF94" s="310"/>
      <c r="AG94" s="310"/>
      <c r="AH94" s="310"/>
      <c r="AI94" s="310"/>
    </row>
    <row r="95" spans="2:35" ht="32.1" customHeight="1">
      <c r="B95" s="520"/>
      <c r="C95" s="521"/>
      <c r="D95" s="523">
        <f t="shared" si="8"/>
        <v>0</v>
      </c>
      <c r="E95" s="318" t="str">
        <f>VLOOKUP("[m]",Sprachindex!$A:$Z,Haftungsausschluß!$O$6,FALSE)</f>
        <v>[m]</v>
      </c>
      <c r="F95" s="318" t="str">
        <f>IF($L$14=1,Preisliste!$E$16,Preisliste!$F$16)</f>
        <v>H801001</v>
      </c>
      <c r="G95" s="988" t="str">
        <f>VLOOKUP("Dammbalken 80/200 exkl. Dichtung, gesägt und entgratet",Sprachindex!$A:$Z,Haftungsausschluß!$O$6,FALSE) &amp; " (" &amp; ROUNDUP(C95/1000*7.78,2) &amp; " " &amp; VLOOKUP("kg/Stk",Sprachindex!$A:$Z,Haftungsausschluß!$O$6,FALSE) &amp; ")" &amp; IF('Kalkulation 1'!AH33," " &amp; H3,"")</f>
        <v>Dammbalken 80/200 exkl. Dichtung, gesägt und entgratet (0 kg/Stk)</v>
      </c>
      <c r="H95" s="989"/>
      <c r="I95" s="989"/>
      <c r="J95" s="989"/>
      <c r="K95" s="989"/>
      <c r="L95" s="989"/>
      <c r="M95" s="990"/>
      <c r="N95" s="519"/>
      <c r="O95" s="518">
        <f t="shared" si="6"/>
        <v>0</v>
      </c>
      <c r="Q95" s="327"/>
      <c r="R95" s="610">
        <f t="shared" si="7"/>
        <v>0</v>
      </c>
      <c r="S95" s="310"/>
      <c r="T95" s="310"/>
      <c r="U95" s="310"/>
      <c r="V95" s="310"/>
      <c r="W95" s="310"/>
      <c r="X95" s="310"/>
      <c r="Y95" s="310"/>
      <c r="Z95" s="310"/>
      <c r="AA95" s="310"/>
      <c r="AB95" s="310"/>
      <c r="AC95" s="310"/>
      <c r="AD95" s="310"/>
      <c r="AE95" s="310"/>
      <c r="AF95" s="310"/>
      <c r="AG95" s="310"/>
      <c r="AH95" s="310"/>
      <c r="AI95" s="310"/>
    </row>
    <row r="96" spans="2:35" ht="32.1" customHeight="1">
      <c r="B96" s="615"/>
      <c r="C96" s="523">
        <v>750</v>
      </c>
      <c r="D96" s="614">
        <f>B96</f>
        <v>0</v>
      </c>
      <c r="E96" s="318" t="str">
        <f>VLOOKUP("[Stk]",Sprachindex!$A:$Z,Haftungsausschluß!$O$6,FALSE)</f>
        <v>[Stk]</v>
      </c>
      <c r="F96" s="318" t="str">
        <f>IF($L$14=1,Preisliste!$E$19,Preisliste!$F$19)</f>
        <v>H251020</v>
      </c>
      <c r="G96" s="988" t="str">
        <f>VLOOKUP("U-Profil 25 exkl. Dichtung, gebohrt und entgratet",Sprachindex!$A:$Z,Haftungsausschluß!$O$6,FALSE) &amp; IF('Kalkulation 1'!AH34," " &amp; H3,"")</f>
        <v>U-Profil 25 exkl. Dichtung, gebohrt und entgratet</v>
      </c>
      <c r="H96" s="989"/>
      <c r="I96" s="989"/>
      <c r="J96" s="989"/>
      <c r="K96" s="989"/>
      <c r="L96" s="989"/>
      <c r="M96" s="990"/>
      <c r="N96" s="519"/>
      <c r="O96" s="518">
        <f t="shared" si="6"/>
        <v>0</v>
      </c>
      <c r="P96" s="681"/>
      <c r="Q96" s="315"/>
      <c r="R96" s="323"/>
      <c r="S96" s="310"/>
      <c r="T96" s="310"/>
      <c r="U96" s="310"/>
      <c r="V96" s="310"/>
      <c r="W96" s="310"/>
      <c r="X96" s="310"/>
      <c r="Y96" s="310"/>
      <c r="Z96" s="310"/>
      <c r="AA96" s="310"/>
      <c r="AB96" s="310"/>
      <c r="AC96" s="310"/>
      <c r="AD96" s="310"/>
      <c r="AE96" s="310"/>
      <c r="AF96" s="310"/>
      <c r="AG96" s="310"/>
      <c r="AH96" s="310"/>
      <c r="AI96" s="310"/>
    </row>
    <row r="97" spans="1:35" ht="32.1" customHeight="1">
      <c r="B97" s="615"/>
      <c r="C97" s="523">
        <v>1350</v>
      </c>
      <c r="D97" s="614">
        <f t="shared" ref="D97:D156" si="9">B97</f>
        <v>0</v>
      </c>
      <c r="E97" s="318" t="str">
        <f>VLOOKUP("[Stk]",Sprachindex!$A:$Z,Haftungsausschluß!$O$6,FALSE)</f>
        <v>[Stk]</v>
      </c>
      <c r="F97" s="318" t="str">
        <f>IF($L$14=1,Preisliste!$E$20,Preisliste!$F$20)</f>
        <v>H251021</v>
      </c>
      <c r="G97" s="988" t="str">
        <f>VLOOKUP("U-Profil 25 exkl. Dichtung, gebohrt und entgratet",Sprachindex!$A:$Z,Haftungsausschluß!$O$6,FALSE) &amp; IF('Kalkulation 1'!AH34," " &amp; H3,"")</f>
        <v>U-Profil 25 exkl. Dichtung, gebohrt und entgratet</v>
      </c>
      <c r="H97" s="989"/>
      <c r="I97" s="989"/>
      <c r="J97" s="989"/>
      <c r="K97" s="989"/>
      <c r="L97" s="989"/>
      <c r="M97" s="990"/>
      <c r="N97" s="519"/>
      <c r="O97" s="518">
        <f t="shared" ref="O97" si="10">N97*D97</f>
        <v>0</v>
      </c>
      <c r="P97" s="324"/>
      <c r="Q97" s="315"/>
      <c r="R97" s="323"/>
      <c r="S97" s="310"/>
      <c r="T97" s="310"/>
      <c r="U97" s="310"/>
      <c r="V97" s="310"/>
      <c r="W97" s="310"/>
      <c r="X97" s="310"/>
      <c r="Y97" s="310"/>
      <c r="Z97" s="310"/>
      <c r="AA97" s="310"/>
      <c r="AB97" s="310"/>
      <c r="AC97" s="310"/>
      <c r="AD97" s="310"/>
      <c r="AE97" s="310"/>
      <c r="AF97" s="310"/>
      <c r="AG97" s="310"/>
      <c r="AH97" s="310"/>
      <c r="AI97" s="310"/>
    </row>
    <row r="98" spans="1:35" ht="32.1" customHeight="1">
      <c r="B98" s="615"/>
      <c r="C98" s="523">
        <v>1520</v>
      </c>
      <c r="D98" s="614">
        <f t="shared" si="9"/>
        <v>0</v>
      </c>
      <c r="E98" s="318" t="str">
        <f>VLOOKUP("[Stk]",Sprachindex!$A:$Z,Haftungsausschluß!$O$6,FALSE)</f>
        <v>[Stk]</v>
      </c>
      <c r="F98" s="318" t="str">
        <f>IF($L$14=1,Preisliste!$E$22,Preisliste!$F$22)</f>
        <v>H251011</v>
      </c>
      <c r="G98" s="988" t="str">
        <f>VLOOKUP("U-Profil 25 Sonderlänge exkl. Dichtung, (Stangenware)",Sprachindex!$A:$Z,Haftungsausschluß!$O$6,FALSE) &amp; IF('Kalkulation 1'!AH34," " &amp; H3,"")</f>
        <v>U-Profil 25 Sonderlänge exkl. Dichtung, (Stangenware)</v>
      </c>
      <c r="H98" s="989"/>
      <c r="I98" s="989"/>
      <c r="J98" s="989"/>
      <c r="K98" s="989"/>
      <c r="L98" s="989"/>
      <c r="M98" s="990"/>
      <c r="N98" s="519"/>
      <c r="O98" s="518">
        <f>N98*D98*C98/1000</f>
        <v>0</v>
      </c>
      <c r="P98" s="324"/>
      <c r="Q98" s="315"/>
      <c r="R98" s="316"/>
      <c r="S98" s="310"/>
      <c r="T98" s="310"/>
      <c r="U98" s="310"/>
      <c r="V98" s="310"/>
      <c r="W98" s="310"/>
      <c r="X98" s="310"/>
      <c r="Y98" s="310"/>
      <c r="Z98" s="310"/>
      <c r="AA98" s="310"/>
      <c r="AB98" s="310"/>
      <c r="AC98" s="310"/>
      <c r="AD98" s="310"/>
      <c r="AE98" s="310"/>
      <c r="AF98" s="310"/>
      <c r="AG98" s="310"/>
      <c r="AH98" s="310"/>
      <c r="AI98" s="310"/>
    </row>
    <row r="99" spans="1:35" ht="32.1" customHeight="1">
      <c r="B99" s="615"/>
      <c r="C99" s="523">
        <v>750</v>
      </c>
      <c r="D99" s="614">
        <f t="shared" si="9"/>
        <v>0</v>
      </c>
      <c r="E99" s="318" t="str">
        <f>VLOOKUP("[Stk]",Sprachindex!$A:$Z,Haftungsausschluß!$O$6,FALSE)</f>
        <v>[Stk]</v>
      </c>
      <c r="F99" s="318" t="str">
        <f>IF($L$14=1,Preisliste!$E$38,Preisliste!$F$38)</f>
        <v>H251200</v>
      </c>
      <c r="G99" s="988" t="str">
        <f>VLOOKUP("Grundprofil 25 exkl. Dichtung, gebohrt und entgratet",Sprachindex!$A:$Z,Haftungsausschluß!$O$6,FALSE) &amp; IF('Kalkulation 1'!AH34," " &amp; H3,"")</f>
        <v>Grundprofil 25 exkl. Dichtung, gebohrt und entgratet</v>
      </c>
      <c r="H99" s="989"/>
      <c r="I99" s="989"/>
      <c r="J99" s="989"/>
      <c r="K99" s="989"/>
      <c r="L99" s="989"/>
      <c r="M99" s="990"/>
      <c r="N99" s="519"/>
      <c r="O99" s="518">
        <f t="shared" ref="O99" si="11">N99*D99</f>
        <v>0</v>
      </c>
      <c r="P99" s="324"/>
      <c r="Q99" s="315"/>
      <c r="R99" s="323"/>
      <c r="S99" s="310"/>
      <c r="T99" s="310"/>
      <c r="U99" s="310"/>
      <c r="V99" s="310"/>
      <c r="W99" s="310"/>
      <c r="X99" s="310"/>
      <c r="Y99" s="310"/>
      <c r="Z99" s="310"/>
      <c r="AA99" s="310"/>
      <c r="AB99" s="310"/>
      <c r="AC99" s="310"/>
      <c r="AD99" s="310"/>
      <c r="AE99" s="310"/>
      <c r="AF99" s="310"/>
      <c r="AG99" s="310"/>
      <c r="AH99" s="310"/>
      <c r="AI99" s="310"/>
    </row>
    <row r="100" spans="1:35" ht="32.1" customHeight="1">
      <c r="B100" s="615"/>
      <c r="C100" s="523">
        <v>1350</v>
      </c>
      <c r="D100" s="614">
        <f t="shared" si="9"/>
        <v>0</v>
      </c>
      <c r="E100" s="318" t="str">
        <f>VLOOKUP("[Stk]",Sprachindex!$A:$Z,Haftungsausschluß!$O$6,FALSE)</f>
        <v>[Stk]</v>
      </c>
      <c r="F100" s="318" t="str">
        <f>IF($L$14=1,Preisliste!$E$39,Preisliste!$F$39)</f>
        <v>H251201</v>
      </c>
      <c r="G100" s="988" t="str">
        <f>VLOOKUP("Grundprofil 25 exkl. Dichtung, gebohrt und entgratet",Sprachindex!$A:$Z,Haftungsausschluß!$O$6,FALSE) &amp; IF('Kalkulation 1'!AH34," " &amp; H3,"")</f>
        <v>Grundprofil 25 exkl. Dichtung, gebohrt und entgratet</v>
      </c>
      <c r="H100" s="989"/>
      <c r="I100" s="989"/>
      <c r="J100" s="989"/>
      <c r="K100" s="989"/>
      <c r="L100" s="989"/>
      <c r="M100" s="990"/>
      <c r="N100" s="519"/>
      <c r="O100" s="518">
        <f t="shared" ref="O100" si="12">N100*D100</f>
        <v>0</v>
      </c>
      <c r="P100" s="324"/>
      <c r="Q100" s="315"/>
      <c r="R100" s="323"/>
      <c r="S100" s="310"/>
      <c r="T100" s="310"/>
      <c r="U100" s="310"/>
      <c r="V100" s="310"/>
      <c r="W100" s="310"/>
      <c r="X100" s="310"/>
      <c r="Y100" s="310"/>
      <c r="Z100" s="310"/>
      <c r="AA100" s="310"/>
      <c r="AB100" s="310"/>
      <c r="AC100" s="310"/>
      <c r="AD100" s="310"/>
      <c r="AE100" s="310"/>
      <c r="AF100" s="310"/>
      <c r="AG100" s="310"/>
      <c r="AH100" s="310"/>
      <c r="AI100" s="310"/>
    </row>
    <row r="101" spans="1:35" ht="32.1" customHeight="1">
      <c r="B101" s="615"/>
      <c r="C101" s="523">
        <v>1520</v>
      </c>
      <c r="D101" s="614">
        <f t="shared" si="9"/>
        <v>0</v>
      </c>
      <c r="E101" s="318" t="str">
        <f>VLOOKUP("[Stk]",Sprachindex!$A:$Z,Haftungsausschluß!$O$6,FALSE)</f>
        <v>[Stk]</v>
      </c>
      <c r="F101" s="318" t="str">
        <f>IF($L$14=1,Preisliste!$E$22,Preisliste!$F$22)</f>
        <v>H251011</v>
      </c>
      <c r="G101" s="988" t="str">
        <f>VLOOKUP("Grundprofil 25 Sonderlänge exkl. Dichtung, (Stangenware)",Sprachindex!$A:$Z,Haftungsausschluß!$O$6,FALSE) &amp; IF('Kalkulation 1'!AH34," " &amp; H3,"")</f>
        <v>Grundprofil 25 Sonderlänge exkl. Dichtung, (Stangenware)</v>
      </c>
      <c r="H101" s="989"/>
      <c r="I101" s="989"/>
      <c r="J101" s="989"/>
      <c r="K101" s="989"/>
      <c r="L101" s="989"/>
      <c r="M101" s="990"/>
      <c r="N101" s="519"/>
      <c r="O101" s="518">
        <f>N101*D101*C101/1000</f>
        <v>0</v>
      </c>
      <c r="P101" s="324"/>
      <c r="Q101" s="315"/>
      <c r="R101" s="316"/>
      <c r="S101" s="310"/>
      <c r="T101" s="310"/>
      <c r="U101" s="310"/>
      <c r="V101" s="310"/>
      <c r="W101" s="310"/>
      <c r="X101" s="310"/>
      <c r="Y101" s="310"/>
      <c r="Z101" s="310"/>
      <c r="AA101" s="310"/>
      <c r="AB101" s="310"/>
      <c r="AC101" s="310"/>
      <c r="AD101" s="310"/>
      <c r="AE101" s="310"/>
      <c r="AF101" s="310"/>
      <c r="AG101" s="310"/>
      <c r="AH101" s="310"/>
      <c r="AI101" s="310"/>
    </row>
    <row r="102" spans="1:35" ht="32.1" customHeight="1">
      <c r="B102" s="615"/>
      <c r="C102" s="523">
        <v>750</v>
      </c>
      <c r="D102" s="614">
        <f t="shared" si="9"/>
        <v>0</v>
      </c>
      <c r="E102" s="318" t="str">
        <f>VLOOKUP("[Stk]",Sprachindex!$A:$Z,Haftungsausschluß!$O$6,FALSE)</f>
        <v>[Stk]</v>
      </c>
      <c r="F102" s="318" t="str">
        <f>IF($L$14=1,Preisliste!$E$24,Preisliste!$F$24)</f>
        <v>H501101</v>
      </c>
      <c r="G102" s="988" t="str">
        <f>VLOOKUP("U-Profil 50 exkl. Dichtung, gebohrt und entgratet",Sprachindex!$A:$Z,Haftungsausschluß!$O$6,FALSE) &amp; IF('Kalkulation 1'!AH34," " &amp; H3,"")</f>
        <v>U-Profil 50 exkl. Dichtung, gebohrt und entgratet</v>
      </c>
      <c r="H102" s="989"/>
      <c r="I102" s="989"/>
      <c r="J102" s="989"/>
      <c r="K102" s="989"/>
      <c r="L102" s="989"/>
      <c r="M102" s="990"/>
      <c r="N102" s="519"/>
      <c r="O102" s="518">
        <f t="shared" ref="O102" si="13">N102*D102</f>
        <v>0</v>
      </c>
      <c r="P102" s="324"/>
      <c r="Q102" s="315"/>
      <c r="R102" s="323"/>
      <c r="S102" s="310"/>
      <c r="T102" s="310"/>
      <c r="U102" s="310"/>
      <c r="V102" s="310"/>
      <c r="W102" s="310"/>
      <c r="X102" s="310"/>
      <c r="Y102" s="310"/>
      <c r="Z102" s="310"/>
      <c r="AA102" s="310"/>
      <c r="AB102" s="310"/>
      <c r="AC102" s="310"/>
      <c r="AD102" s="310"/>
      <c r="AE102" s="310"/>
      <c r="AF102" s="310"/>
      <c r="AG102" s="310"/>
      <c r="AH102" s="310"/>
      <c r="AI102" s="310"/>
    </row>
    <row r="103" spans="1:35" s="533" customFormat="1" ht="32.1" customHeight="1">
      <c r="A103" s="288"/>
      <c r="B103" s="615"/>
      <c r="C103" s="523">
        <v>1350</v>
      </c>
      <c r="D103" s="614">
        <f t="shared" si="9"/>
        <v>0</v>
      </c>
      <c r="E103" s="318" t="str">
        <f>VLOOKUP("[Stk]",Sprachindex!$A:$Z,Haftungsausschluß!$O$6,FALSE)</f>
        <v>[Stk]</v>
      </c>
      <c r="F103" s="318" t="str">
        <f>IF($L$14=1,Preisliste!$E$25,Preisliste!$F$25)</f>
        <v>H501111</v>
      </c>
      <c r="G103" s="988" t="str">
        <f>VLOOKUP("U-Profil 50 exkl. Dichtung, gebohrt und entgratet",Sprachindex!$A:$Z,Haftungsausschluß!$O$6,FALSE) &amp; IF('Kalkulation 1'!AH34," " &amp; H3,"")</f>
        <v>U-Profil 50 exkl. Dichtung, gebohrt und entgratet</v>
      </c>
      <c r="H103" s="989"/>
      <c r="I103" s="989"/>
      <c r="J103" s="989"/>
      <c r="K103" s="989"/>
      <c r="L103" s="989"/>
      <c r="M103" s="990"/>
      <c r="N103" s="519"/>
      <c r="O103" s="518">
        <f t="shared" ref="O103:O105" si="14">N103*D103</f>
        <v>0</v>
      </c>
      <c r="P103" s="324"/>
      <c r="Q103" s="315"/>
      <c r="R103" s="526"/>
      <c r="S103" s="321"/>
      <c r="T103" s="321"/>
      <c r="U103" s="321"/>
      <c r="V103" s="321"/>
      <c r="W103" s="321"/>
      <c r="X103" s="321"/>
      <c r="Y103" s="321"/>
      <c r="Z103" s="321"/>
      <c r="AA103" s="321"/>
      <c r="AB103" s="321"/>
      <c r="AC103" s="321"/>
      <c r="AD103" s="321"/>
      <c r="AE103" s="321"/>
      <c r="AF103" s="321"/>
      <c r="AG103" s="321"/>
      <c r="AH103" s="321"/>
      <c r="AI103" s="321"/>
    </row>
    <row r="104" spans="1:35" ht="32.1" customHeight="1">
      <c r="B104" s="615"/>
      <c r="C104" s="523">
        <v>1750</v>
      </c>
      <c r="D104" s="614">
        <f t="shared" si="9"/>
        <v>0</v>
      </c>
      <c r="E104" s="318" t="str">
        <f>VLOOKUP("[Stk]",Sprachindex!$A:$Z,Haftungsausschluß!$O$6,FALSE)</f>
        <v>[Stk]</v>
      </c>
      <c r="F104" s="318" t="str">
        <f>IF($L$14=1,Preisliste!$E$26,Preisliste!$F$26)</f>
        <v>H501112</v>
      </c>
      <c r="G104" s="988" t="str">
        <f>VLOOKUP("U-Profil 50 exkl. Dichtung, gebohrt und entgratet",Sprachindex!$A:$Z,Haftungsausschluß!$O$6,FALSE) &amp; IF('Kalkulation 1'!AH34," " &amp; H3,"")</f>
        <v>U-Profil 50 exkl. Dichtung, gebohrt und entgratet</v>
      </c>
      <c r="H104" s="989"/>
      <c r="I104" s="989"/>
      <c r="J104" s="989"/>
      <c r="K104" s="989"/>
      <c r="L104" s="989"/>
      <c r="M104" s="990"/>
      <c r="N104" s="519"/>
      <c r="O104" s="518">
        <f t="shared" si="14"/>
        <v>0</v>
      </c>
      <c r="P104" s="324"/>
      <c r="Q104" s="315"/>
      <c r="R104" s="323"/>
      <c r="S104" s="310"/>
      <c r="T104" s="310"/>
      <c r="U104" s="310"/>
      <c r="V104" s="310"/>
      <c r="W104" s="310"/>
      <c r="X104" s="310"/>
      <c r="Y104" s="310"/>
      <c r="Z104" s="310"/>
      <c r="AA104" s="310"/>
      <c r="AB104" s="310"/>
      <c r="AC104" s="310"/>
      <c r="AD104" s="310"/>
      <c r="AE104" s="310"/>
      <c r="AF104" s="310"/>
      <c r="AG104" s="310"/>
      <c r="AH104" s="310"/>
      <c r="AI104" s="310"/>
    </row>
    <row r="105" spans="1:35" ht="32.1" customHeight="1">
      <c r="B105" s="615"/>
      <c r="C105" s="523">
        <v>2150</v>
      </c>
      <c r="D105" s="614">
        <f t="shared" si="9"/>
        <v>0</v>
      </c>
      <c r="E105" s="318" t="str">
        <f>VLOOKUP("[Stk]",Sprachindex!$A:$Z,Haftungsausschluß!$O$6,FALSE)</f>
        <v>[Stk]</v>
      </c>
      <c r="F105" s="318" t="str">
        <f>IF($L$14=1,Preisliste!$E$27,Preisliste!$F$27)</f>
        <v>H501122</v>
      </c>
      <c r="G105" s="988" t="str">
        <f>VLOOKUP("U-Profil 50 exkl. Dichtung, gebohrt und entgratet",Sprachindex!$A:$Z,Haftungsausschluß!$O$6,FALSE) &amp; IF('Kalkulation 1'!AH34," " &amp; H3,"")</f>
        <v>U-Profil 50 exkl. Dichtung, gebohrt und entgratet</v>
      </c>
      <c r="H105" s="989"/>
      <c r="I105" s="989"/>
      <c r="J105" s="989"/>
      <c r="K105" s="989"/>
      <c r="L105" s="989"/>
      <c r="M105" s="990"/>
      <c r="N105" s="519"/>
      <c r="O105" s="518">
        <f t="shared" si="14"/>
        <v>0</v>
      </c>
      <c r="P105" s="324"/>
      <c r="Q105" s="315"/>
      <c r="R105" s="323"/>
      <c r="S105" s="310"/>
      <c r="T105" s="310"/>
      <c r="U105" s="310"/>
      <c r="V105" s="310"/>
      <c r="W105" s="310"/>
      <c r="X105" s="310"/>
      <c r="Y105" s="310"/>
      <c r="Z105" s="310"/>
      <c r="AA105" s="310"/>
      <c r="AB105" s="310"/>
      <c r="AC105" s="310"/>
      <c r="AD105" s="310"/>
      <c r="AE105" s="310"/>
      <c r="AF105" s="310"/>
      <c r="AG105" s="310"/>
      <c r="AH105" s="310"/>
      <c r="AI105" s="310"/>
    </row>
    <row r="106" spans="1:35" ht="32.1" customHeight="1">
      <c r="B106" s="615"/>
      <c r="C106" s="523">
        <v>2720</v>
      </c>
      <c r="D106" s="614">
        <f t="shared" si="9"/>
        <v>0</v>
      </c>
      <c r="E106" s="318" t="str">
        <f>VLOOKUP("[Stk]",Sprachindex!$A:$Z,Haftungsausschluß!$O$6,FALSE)</f>
        <v>[Stk]</v>
      </c>
      <c r="F106" s="318" t="str">
        <f>IF($L$14=1,Preisliste!$E$29,Preisliste!$F$29)</f>
        <v>H501191</v>
      </c>
      <c r="G106" s="988" t="str">
        <f>VLOOKUP("U-Profil 50 Sonderlänge exkl. Dichtung, (Stangenware)",Sprachindex!$A:$Z,Haftungsausschluß!$O$6,FALSE) &amp; IF('Kalkulation 1'!AH34," " &amp; H3,"")</f>
        <v>U-Profil 50 Sonderlänge exkl. Dichtung, (Stangenware)</v>
      </c>
      <c r="H106" s="989"/>
      <c r="I106" s="989"/>
      <c r="J106" s="989"/>
      <c r="K106" s="989"/>
      <c r="L106" s="989"/>
      <c r="M106" s="990"/>
      <c r="N106" s="519"/>
      <c r="O106" s="518">
        <f>N106*D106*C106/1000</f>
        <v>0</v>
      </c>
      <c r="P106" s="324"/>
      <c r="Q106" s="315"/>
      <c r="R106" s="316"/>
      <c r="S106" s="310"/>
      <c r="T106" s="310"/>
      <c r="U106" s="310"/>
      <c r="V106" s="310"/>
      <c r="W106" s="310"/>
      <c r="X106" s="310"/>
      <c r="Y106" s="310"/>
      <c r="Z106" s="310"/>
      <c r="AA106" s="310"/>
      <c r="AB106" s="310"/>
      <c r="AC106" s="310"/>
      <c r="AD106" s="310"/>
      <c r="AE106" s="310"/>
      <c r="AF106" s="310"/>
      <c r="AG106" s="310"/>
      <c r="AH106" s="310"/>
      <c r="AI106" s="310"/>
    </row>
    <row r="107" spans="1:35" ht="32.1" customHeight="1">
      <c r="B107" s="615"/>
      <c r="C107" s="523">
        <v>750</v>
      </c>
      <c r="D107" s="614">
        <f t="shared" si="9"/>
        <v>0</v>
      </c>
      <c r="E107" s="318" t="str">
        <f>VLOOKUP("[Stk]",Sprachindex!$A:$Z,Haftungsausschluß!$O$6,FALSE)</f>
        <v>[Stk]</v>
      </c>
      <c r="F107" s="318" t="str">
        <f>IF($L$14=1,Preisliste!$E$31,Preisliste!$F$31)</f>
        <v>H801101</v>
      </c>
      <c r="G107" s="988" t="str">
        <f>VLOOKUP("U-Profil 80 exkl. Dichtung, gebohrt und entgratet",Sprachindex!$A:$Z,Haftungsausschluß!$O$6,FALSE) &amp; IF('Kalkulation 1'!AH34," " &amp; H3,"")</f>
        <v>U-Profil 80 exkl. Dichtung, gebohrt und entgratet</v>
      </c>
      <c r="H107" s="989"/>
      <c r="I107" s="989"/>
      <c r="J107" s="989"/>
      <c r="K107" s="989"/>
      <c r="L107" s="989"/>
      <c r="M107" s="990"/>
      <c r="N107" s="519"/>
      <c r="O107" s="518">
        <f t="shared" ref="O107" si="15">N107*D107</f>
        <v>0</v>
      </c>
      <c r="P107" s="324"/>
      <c r="Q107" s="315"/>
      <c r="R107" s="323"/>
      <c r="S107" s="310"/>
      <c r="T107" s="310"/>
      <c r="U107" s="310"/>
      <c r="V107" s="310"/>
      <c r="W107" s="310"/>
      <c r="X107" s="310"/>
      <c r="Y107" s="310"/>
      <c r="Z107" s="310"/>
      <c r="AA107" s="310"/>
      <c r="AB107" s="310"/>
      <c r="AC107" s="310"/>
      <c r="AD107" s="310"/>
      <c r="AE107" s="310"/>
      <c r="AF107" s="310"/>
      <c r="AG107" s="310"/>
      <c r="AH107" s="310"/>
      <c r="AI107" s="310"/>
    </row>
    <row r="108" spans="1:35" s="533" customFormat="1" ht="32.1" customHeight="1">
      <c r="A108" s="288"/>
      <c r="B108" s="615"/>
      <c r="C108" s="523">
        <v>1350</v>
      </c>
      <c r="D108" s="614">
        <f t="shared" si="9"/>
        <v>0</v>
      </c>
      <c r="E108" s="318" t="str">
        <f>VLOOKUP("[Stk]",Sprachindex!$A:$Z,Haftungsausschluß!$O$6,FALSE)</f>
        <v>[Stk]</v>
      </c>
      <c r="F108" s="318" t="str">
        <f>IF($L$14=1,Preisliste!$E$32,Preisliste!$F$32)</f>
        <v>H801111</v>
      </c>
      <c r="G108" s="988" t="str">
        <f>VLOOKUP("U-Profil 80 exkl. Dichtung, gebohrt und entgratet",Sprachindex!$A:$Z,Haftungsausschluß!$O$6,FALSE) &amp; IF('Kalkulation 1'!AH34," " &amp; H3,"")</f>
        <v>U-Profil 80 exkl. Dichtung, gebohrt und entgratet</v>
      </c>
      <c r="H108" s="989"/>
      <c r="I108" s="989"/>
      <c r="J108" s="989"/>
      <c r="K108" s="989"/>
      <c r="L108" s="989"/>
      <c r="M108" s="990"/>
      <c r="N108" s="552"/>
      <c r="O108" s="550">
        <f t="shared" ref="O108:O110" si="16">N108*D108</f>
        <v>0</v>
      </c>
      <c r="P108" s="324"/>
      <c r="Q108" s="315"/>
      <c r="R108" s="526"/>
      <c r="S108" s="321"/>
      <c r="T108" s="321"/>
      <c r="U108" s="321"/>
      <c r="V108" s="321"/>
      <c r="W108" s="321"/>
      <c r="X108" s="321"/>
      <c r="Y108" s="321"/>
      <c r="Z108" s="321"/>
      <c r="AA108" s="321"/>
      <c r="AB108" s="321"/>
      <c r="AC108" s="321"/>
      <c r="AD108" s="321"/>
      <c r="AE108" s="321"/>
      <c r="AF108" s="321"/>
      <c r="AG108" s="321"/>
      <c r="AH108" s="321"/>
      <c r="AI108" s="321"/>
    </row>
    <row r="109" spans="1:35" ht="32.1" customHeight="1">
      <c r="B109" s="615"/>
      <c r="C109" s="523">
        <v>1750</v>
      </c>
      <c r="D109" s="614">
        <f t="shared" si="9"/>
        <v>0</v>
      </c>
      <c r="E109" s="318" t="str">
        <f>VLOOKUP("[Stk]",Sprachindex!$A:$Z,Haftungsausschluß!$O$6,FALSE)</f>
        <v>[Stk]</v>
      </c>
      <c r="F109" s="318" t="str">
        <f>IF($L$14=1,Preisliste!$E$33,Preisliste!$F$33)</f>
        <v>H801112</v>
      </c>
      <c r="G109" s="988" t="str">
        <f>VLOOKUP("U-Profil 80 exkl. Dichtung, gebohrt und entgratet",Sprachindex!$A:$Z,Haftungsausschluß!$O$6,FALSE) &amp; IF('Kalkulation 1'!AH34," " &amp; H3,"")</f>
        <v>U-Profil 80 exkl. Dichtung, gebohrt und entgratet</v>
      </c>
      <c r="H109" s="989"/>
      <c r="I109" s="989"/>
      <c r="J109" s="989"/>
      <c r="K109" s="989"/>
      <c r="L109" s="989"/>
      <c r="M109" s="990"/>
      <c r="N109" s="519"/>
      <c r="O109" s="518">
        <f t="shared" si="16"/>
        <v>0</v>
      </c>
      <c r="P109" s="324"/>
      <c r="Q109" s="315"/>
      <c r="R109" s="323"/>
      <c r="S109" s="310"/>
      <c r="T109" s="310"/>
      <c r="U109" s="310"/>
      <c r="V109" s="310"/>
      <c r="W109" s="310"/>
      <c r="X109" s="310"/>
      <c r="Y109" s="310"/>
      <c r="Z109" s="310"/>
      <c r="AA109" s="310"/>
      <c r="AB109" s="310"/>
      <c r="AC109" s="310"/>
      <c r="AD109" s="310"/>
      <c r="AE109" s="310"/>
      <c r="AF109" s="310"/>
      <c r="AG109" s="310"/>
      <c r="AH109" s="310"/>
      <c r="AI109" s="310"/>
    </row>
    <row r="110" spans="1:35" ht="32.1" customHeight="1">
      <c r="B110" s="615"/>
      <c r="C110" s="523">
        <v>2150</v>
      </c>
      <c r="D110" s="614">
        <f t="shared" si="9"/>
        <v>0</v>
      </c>
      <c r="E110" s="318" t="str">
        <f>VLOOKUP("[Stk]",Sprachindex!$A:$Z,Haftungsausschluß!$O$6,FALSE)</f>
        <v>[Stk]</v>
      </c>
      <c r="F110" s="318" t="str">
        <f>IF($L$14=1,Preisliste!$E$34,Preisliste!$F$34)</f>
        <v>H801122</v>
      </c>
      <c r="G110" s="988" t="str">
        <f>VLOOKUP("U-Profil 80 exkl. Dichtung, gebohrt und entgratet",Sprachindex!$A:$Z,Haftungsausschluß!$O$6,FALSE) &amp; IF('Kalkulation 1'!AH34," " &amp; H3,"")</f>
        <v>U-Profil 80 exkl. Dichtung, gebohrt und entgratet</v>
      </c>
      <c r="H110" s="989"/>
      <c r="I110" s="989"/>
      <c r="J110" s="989"/>
      <c r="K110" s="989"/>
      <c r="L110" s="989"/>
      <c r="M110" s="990"/>
      <c r="N110" s="519"/>
      <c r="O110" s="518">
        <f t="shared" si="16"/>
        <v>0</v>
      </c>
      <c r="P110" s="324"/>
      <c r="Q110" s="315"/>
      <c r="R110" s="323"/>
      <c r="S110" s="310"/>
      <c r="T110" s="310"/>
      <c r="U110" s="310"/>
      <c r="V110" s="310"/>
      <c r="W110" s="310"/>
      <c r="X110" s="310"/>
      <c r="Y110" s="310"/>
      <c r="Z110" s="310"/>
      <c r="AA110" s="310"/>
      <c r="AB110" s="310"/>
      <c r="AC110" s="310"/>
      <c r="AD110" s="310"/>
      <c r="AE110" s="310"/>
      <c r="AF110" s="310"/>
      <c r="AG110" s="310"/>
      <c r="AH110" s="310"/>
      <c r="AI110" s="310"/>
    </row>
    <row r="111" spans="1:35" ht="32.1" customHeight="1">
      <c r="B111" s="615"/>
      <c r="C111" s="523">
        <v>2320</v>
      </c>
      <c r="D111" s="614">
        <f t="shared" si="9"/>
        <v>0</v>
      </c>
      <c r="E111" s="318" t="str">
        <f>VLOOKUP("[Stk]",Sprachindex!$A:$Z,Haftungsausschluß!$O$6,FALSE)</f>
        <v>[Stk]</v>
      </c>
      <c r="F111" s="318" t="str">
        <f>IF($L$14=1,Preisliste!$E$36,Preisliste!$F$36)</f>
        <v>H801191</v>
      </c>
      <c r="G111" s="988" t="str">
        <f>VLOOKUP("U-Profil 80 Sonderlänge exkl. Dichtung, (Stangenware)",Sprachindex!$A:$Z,Haftungsausschluß!$O$6,FALSE) &amp; IF('Kalkulation 1'!AH34," " &amp; H3,"")</f>
        <v>U-Profil 80 Sonderlänge exkl. Dichtung, (Stangenware)</v>
      </c>
      <c r="H111" s="989"/>
      <c r="I111" s="989"/>
      <c r="J111" s="989"/>
      <c r="K111" s="989"/>
      <c r="L111" s="989"/>
      <c r="M111" s="990"/>
      <c r="N111" s="519"/>
      <c r="O111" s="518">
        <f>N111*D111*C111/1000</f>
        <v>0</v>
      </c>
      <c r="P111" s="324"/>
      <c r="Q111" s="315"/>
      <c r="R111" s="316"/>
      <c r="S111" s="310"/>
      <c r="T111" s="310"/>
      <c r="U111" s="310"/>
      <c r="V111" s="310"/>
      <c r="W111" s="310"/>
      <c r="X111" s="310"/>
      <c r="Y111" s="310"/>
      <c r="Z111" s="310"/>
      <c r="AA111" s="310"/>
      <c r="AB111" s="310"/>
      <c r="AC111" s="310"/>
      <c r="AD111" s="310"/>
      <c r="AE111" s="310"/>
      <c r="AF111" s="310"/>
      <c r="AG111" s="310"/>
      <c r="AH111" s="310"/>
      <c r="AI111" s="310"/>
    </row>
    <row r="112" spans="1:35" ht="32.1" customHeight="1">
      <c r="B112" s="615"/>
      <c r="C112" s="523">
        <v>750</v>
      </c>
      <c r="D112" s="614">
        <f t="shared" si="9"/>
        <v>0</v>
      </c>
      <c r="E112" s="318" t="str">
        <f>VLOOKUP("[Stk]",Sprachindex!$A:$Z,Haftungsausschluß!$O$6,FALSE)</f>
        <v>[Stk]</v>
      </c>
      <c r="F112" s="318" t="str">
        <f>IF($L$14=1,Preisliste!$E$42,Preisliste!$F$42)</f>
        <v>H501201</v>
      </c>
      <c r="G112" s="988" t="str">
        <f>VLOOKUP("Grundprofil 50 exkl. Dichtung, gebohrt und entgratet",Sprachindex!$A:$Z,Haftungsausschluß!$O$6,FALSE) &amp; IF('Kalkulation 1'!AH34," " &amp; H3,"")</f>
        <v>Grundprofil 50 exkl. Dichtung, gebohrt und entgratet</v>
      </c>
      <c r="H112" s="989"/>
      <c r="I112" s="989"/>
      <c r="J112" s="989"/>
      <c r="K112" s="989"/>
      <c r="L112" s="989"/>
      <c r="M112" s="990"/>
      <c r="N112" s="519"/>
      <c r="O112" s="518">
        <f t="shared" ref="O112" si="17">N112*D112</f>
        <v>0</v>
      </c>
      <c r="P112" s="324"/>
      <c r="Q112" s="315"/>
      <c r="R112" s="323"/>
      <c r="S112" s="310"/>
      <c r="T112" s="310"/>
      <c r="U112" s="310"/>
      <c r="V112" s="310"/>
      <c r="W112" s="310"/>
      <c r="X112" s="310"/>
      <c r="Y112" s="310"/>
      <c r="Z112" s="310"/>
      <c r="AA112" s="310"/>
      <c r="AB112" s="310"/>
      <c r="AC112" s="310"/>
      <c r="AD112" s="310"/>
      <c r="AE112" s="310"/>
      <c r="AF112" s="310"/>
      <c r="AG112" s="310"/>
      <c r="AH112" s="310"/>
      <c r="AI112" s="310"/>
    </row>
    <row r="113" spans="1:35" ht="32.1" customHeight="1">
      <c r="B113" s="615"/>
      <c r="C113" s="523">
        <v>1350</v>
      </c>
      <c r="D113" s="614">
        <f t="shared" si="9"/>
        <v>0</v>
      </c>
      <c r="E113" s="318" t="str">
        <f>VLOOKUP("[Stk]",Sprachindex!$A:$Z,Haftungsausschluß!$O$6,FALSE)</f>
        <v>[Stk]</v>
      </c>
      <c r="F113" s="318" t="str">
        <f>IF($L$14=1,Preisliste!$E$43,Preisliste!$F$43)</f>
        <v>H501211</v>
      </c>
      <c r="G113" s="988" t="str">
        <f>VLOOKUP("Grundprofil 50 exkl. Dichtung, gebohrt und entgratet",Sprachindex!$A:$Z,Haftungsausschluß!$O$6,FALSE) &amp; IF('Kalkulation 1'!AH34," " &amp; H3,"")</f>
        <v>Grundprofil 50 exkl. Dichtung, gebohrt und entgratet</v>
      </c>
      <c r="H113" s="989"/>
      <c r="I113" s="989"/>
      <c r="J113" s="989"/>
      <c r="K113" s="989"/>
      <c r="L113" s="989"/>
      <c r="M113" s="990"/>
      <c r="N113" s="519">
        <v>142.6</v>
      </c>
      <c r="O113" s="518">
        <f t="shared" ref="O113:O116" si="18">N113*D113</f>
        <v>0</v>
      </c>
      <c r="P113" s="324"/>
      <c r="Q113" s="315"/>
      <c r="R113" s="323"/>
      <c r="S113" s="310"/>
      <c r="T113" s="310"/>
      <c r="U113" s="310"/>
      <c r="V113" s="310"/>
      <c r="W113" s="310"/>
      <c r="X113" s="310"/>
      <c r="Y113" s="310"/>
      <c r="Z113" s="310"/>
      <c r="AA113" s="310"/>
      <c r="AB113" s="310"/>
      <c r="AC113" s="310"/>
      <c r="AD113" s="310"/>
      <c r="AE113" s="310"/>
      <c r="AF113" s="310"/>
      <c r="AG113" s="310"/>
      <c r="AH113" s="310"/>
      <c r="AI113" s="310"/>
    </row>
    <row r="114" spans="1:35" ht="32.1" customHeight="1">
      <c r="B114" s="615"/>
      <c r="C114" s="523">
        <v>1750</v>
      </c>
      <c r="D114" s="614">
        <f t="shared" si="9"/>
        <v>0</v>
      </c>
      <c r="E114" s="318" t="str">
        <f>VLOOKUP("[Stk]",Sprachindex!$A:$Z,Haftungsausschluß!$O$6,FALSE)</f>
        <v>[Stk]</v>
      </c>
      <c r="F114" s="318" t="str">
        <f>IF($L$14=1,Preisliste!$E$44,Preisliste!$F$44)</f>
        <v>H501212</v>
      </c>
      <c r="G114" s="988" t="str">
        <f>VLOOKUP("Grundprofil 50 exkl. Dichtung, gebohrt und entgratet",Sprachindex!$A:$Z,Haftungsausschluß!$O$6,FALSE) &amp; IF('Kalkulation 1'!AH34," " &amp; H3,"")</f>
        <v>Grundprofil 50 exkl. Dichtung, gebohrt und entgratet</v>
      </c>
      <c r="H114" s="989"/>
      <c r="I114" s="989"/>
      <c r="J114" s="989"/>
      <c r="K114" s="989"/>
      <c r="L114" s="989"/>
      <c r="M114" s="990"/>
      <c r="N114" s="519"/>
      <c r="O114" s="518">
        <f t="shared" si="18"/>
        <v>0</v>
      </c>
      <c r="P114" s="324"/>
      <c r="Q114" s="315"/>
      <c r="R114" s="323"/>
      <c r="S114" s="310"/>
      <c r="T114" s="310"/>
      <c r="U114" s="310"/>
      <c r="V114" s="310"/>
      <c r="W114" s="310"/>
      <c r="X114" s="310"/>
      <c r="Y114" s="310"/>
      <c r="Z114" s="310"/>
      <c r="AA114" s="310"/>
      <c r="AB114" s="310"/>
      <c r="AC114" s="310"/>
      <c r="AD114" s="310"/>
      <c r="AE114" s="310"/>
      <c r="AF114" s="310"/>
      <c r="AG114" s="310"/>
      <c r="AH114" s="310"/>
      <c r="AI114" s="310"/>
    </row>
    <row r="115" spans="1:35" ht="32.1" customHeight="1">
      <c r="B115" s="615"/>
      <c r="C115" s="523">
        <v>2150</v>
      </c>
      <c r="D115" s="614">
        <f t="shared" si="9"/>
        <v>0</v>
      </c>
      <c r="E115" s="318" t="str">
        <f>VLOOKUP("[Stk]",Sprachindex!$A:$Z,Haftungsausschluß!$O$6,FALSE)</f>
        <v>[Stk]</v>
      </c>
      <c r="F115" s="318" t="str">
        <f>IF($L$14=1,Preisliste!$E$45,Preisliste!$F$45)</f>
        <v>H501222</v>
      </c>
      <c r="G115" s="988" t="str">
        <f>VLOOKUP("Grundprofil 50 exkl. Dichtung, gebohrt und entgratet",Sprachindex!$A:$Z,Haftungsausschluß!$O$6,FALSE) &amp; IF('Kalkulation 1'!AH34," " &amp; H3,"")</f>
        <v>Grundprofil 50 exkl. Dichtung, gebohrt und entgratet</v>
      </c>
      <c r="H115" s="989"/>
      <c r="I115" s="989"/>
      <c r="J115" s="989"/>
      <c r="K115" s="989"/>
      <c r="L115" s="989"/>
      <c r="M115" s="990"/>
      <c r="N115" s="519"/>
      <c r="O115" s="518">
        <f t="shared" si="18"/>
        <v>0</v>
      </c>
      <c r="P115" s="324"/>
      <c r="Q115" s="315"/>
      <c r="R115" s="323"/>
      <c r="S115" s="310"/>
      <c r="T115" s="310"/>
      <c r="U115" s="310"/>
      <c r="V115" s="310"/>
      <c r="W115" s="310"/>
      <c r="X115" s="310"/>
      <c r="Y115" s="310"/>
      <c r="Z115" s="310"/>
      <c r="AA115" s="310"/>
      <c r="AB115" s="310"/>
      <c r="AC115" s="310"/>
      <c r="AD115" s="310"/>
      <c r="AE115" s="310"/>
      <c r="AF115" s="310"/>
      <c r="AG115" s="310"/>
      <c r="AH115" s="310"/>
      <c r="AI115" s="310"/>
    </row>
    <row r="116" spans="1:35" ht="32.1" customHeight="1">
      <c r="B116" s="615"/>
      <c r="C116" s="523">
        <v>2720</v>
      </c>
      <c r="D116" s="614">
        <f t="shared" si="9"/>
        <v>0</v>
      </c>
      <c r="E116" s="318" t="str">
        <f>VLOOKUP("[Stk]",Sprachindex!$A:$Z,Haftungsausschluß!$O$6,FALSE)</f>
        <v>[Stk]</v>
      </c>
      <c r="F116" s="318" t="str">
        <f>IF($L$14=1,Preisliste!$E$47,Preisliste!$F$47)</f>
        <v>H501291</v>
      </c>
      <c r="G116" s="988" t="str">
        <f>VLOOKUP("Grundprofil 50 Sonderlänge exkl. Dichtung, (Stangenware)",Sprachindex!$A:$Z,Haftungsausschluß!$O$6,FALSE) &amp; IF('Kalkulation 1'!AH34," " &amp; H3,"")</f>
        <v>Grundprofil 50 Sonderlänge exkl. Dichtung, (Stangenware)</v>
      </c>
      <c r="H116" s="989"/>
      <c r="I116" s="989"/>
      <c r="J116" s="989"/>
      <c r="K116" s="989"/>
      <c r="L116" s="989"/>
      <c r="M116" s="990"/>
      <c r="N116" s="519"/>
      <c r="O116" s="518">
        <f t="shared" si="18"/>
        <v>0</v>
      </c>
      <c r="P116" s="324"/>
      <c r="Q116" s="315"/>
      <c r="R116" s="316"/>
      <c r="S116" s="310"/>
      <c r="T116" s="310"/>
      <c r="U116" s="310"/>
      <c r="V116" s="310"/>
      <c r="W116" s="310"/>
      <c r="X116" s="310"/>
      <c r="Y116" s="310"/>
      <c r="Z116" s="310"/>
      <c r="AA116" s="310"/>
      <c r="AB116" s="310"/>
      <c r="AC116" s="310"/>
      <c r="AD116" s="310"/>
      <c r="AE116" s="310"/>
      <c r="AF116" s="310"/>
      <c r="AG116" s="310"/>
      <c r="AH116" s="310"/>
      <c r="AI116" s="310"/>
    </row>
    <row r="117" spans="1:35" ht="32.1" customHeight="1">
      <c r="B117" s="615"/>
      <c r="C117" s="523">
        <v>750</v>
      </c>
      <c r="D117" s="614">
        <f t="shared" si="9"/>
        <v>0</v>
      </c>
      <c r="E117" s="318" t="str">
        <f>VLOOKUP("[Stk]",Sprachindex!$A:$Z,Haftungsausschluß!$O$6,FALSE)</f>
        <v>[Stk]</v>
      </c>
      <c r="F117" s="318" t="str">
        <f>IF($L$14=1,Preisliste!$E$49,Preisliste!$F$49)</f>
        <v>H801201</v>
      </c>
      <c r="G117" s="988" t="str">
        <f>VLOOKUP("Grundprofil 80 exkl. Dichtung, gebohrt und entgratet",Sprachindex!$A:$Z,Haftungsausschluß!$O$6,FALSE) &amp; IF('Kalkulation 1'!AH34," " &amp; H3,"")</f>
        <v>Grundprofil 80 exkl. Dichtung, gebohrt und entgratet</v>
      </c>
      <c r="H117" s="989"/>
      <c r="I117" s="989"/>
      <c r="J117" s="989"/>
      <c r="K117" s="989"/>
      <c r="L117" s="989"/>
      <c r="M117" s="990"/>
      <c r="N117" s="519"/>
      <c r="O117" s="518">
        <f t="shared" ref="O117" si="19">N117*D117</f>
        <v>0</v>
      </c>
      <c r="P117" s="324"/>
      <c r="Q117" s="315"/>
      <c r="R117" s="323"/>
      <c r="S117" s="310"/>
      <c r="T117" s="310"/>
      <c r="U117" s="310"/>
      <c r="V117" s="310"/>
      <c r="W117" s="310"/>
      <c r="X117" s="310"/>
      <c r="Y117" s="310"/>
      <c r="Z117" s="310"/>
      <c r="AA117" s="310"/>
      <c r="AB117" s="310"/>
      <c r="AC117" s="310"/>
      <c r="AD117" s="310"/>
      <c r="AE117" s="310"/>
      <c r="AF117" s="310"/>
      <c r="AG117" s="310"/>
      <c r="AH117" s="310"/>
      <c r="AI117" s="310"/>
    </row>
    <row r="118" spans="1:35" ht="32.1" customHeight="1">
      <c r="B118" s="615"/>
      <c r="C118" s="523">
        <v>1350</v>
      </c>
      <c r="D118" s="614">
        <f t="shared" si="9"/>
        <v>0</v>
      </c>
      <c r="E118" s="318" t="str">
        <f>VLOOKUP("[Stk]",Sprachindex!$A:$Z,Haftungsausschluß!$O$6,FALSE)</f>
        <v>[Stk]</v>
      </c>
      <c r="F118" s="318" t="str">
        <f>IF($L$14=1,Preisliste!$E$50,Preisliste!$F$50)</f>
        <v>H801211</v>
      </c>
      <c r="G118" s="988" t="str">
        <f>VLOOKUP("Grundprofil 80 exkl. Dichtung, gebohrt und entgratet",Sprachindex!$A:$Z,Haftungsausschluß!$O$6,FALSE) &amp; IF('Kalkulation 1'!AH34," " &amp; H3,"")</f>
        <v>Grundprofil 80 exkl. Dichtung, gebohrt und entgratet</v>
      </c>
      <c r="H118" s="989"/>
      <c r="I118" s="989"/>
      <c r="J118" s="989"/>
      <c r="K118" s="989"/>
      <c r="L118" s="989"/>
      <c r="M118" s="990"/>
      <c r="N118" s="519"/>
      <c r="O118" s="518">
        <f t="shared" ref="O118:O120" si="20">N118*D118</f>
        <v>0</v>
      </c>
      <c r="P118" s="324"/>
      <c r="Q118" s="315"/>
      <c r="R118" s="323"/>
      <c r="S118" s="310"/>
      <c r="T118" s="310"/>
      <c r="U118" s="310"/>
      <c r="V118" s="310"/>
      <c r="W118" s="310"/>
      <c r="X118" s="310"/>
      <c r="Y118" s="310"/>
      <c r="Z118" s="310"/>
      <c r="AA118" s="310"/>
      <c r="AB118" s="310"/>
      <c r="AC118" s="310"/>
      <c r="AD118" s="310"/>
      <c r="AE118" s="310"/>
      <c r="AF118" s="310"/>
      <c r="AG118" s="310"/>
      <c r="AH118" s="310"/>
      <c r="AI118" s="310"/>
    </row>
    <row r="119" spans="1:35" ht="32.1" customHeight="1">
      <c r="B119" s="615"/>
      <c r="C119" s="523">
        <v>1750</v>
      </c>
      <c r="D119" s="614">
        <f t="shared" si="9"/>
        <v>0</v>
      </c>
      <c r="E119" s="318" t="str">
        <f>VLOOKUP("[Stk]",Sprachindex!$A:$Z,Haftungsausschluß!$O$6,FALSE)</f>
        <v>[Stk]</v>
      </c>
      <c r="F119" s="318" t="str">
        <f>IF($L$14=1,Preisliste!$E$51,Preisliste!$F$51)</f>
        <v>H801212</v>
      </c>
      <c r="G119" s="988" t="str">
        <f>VLOOKUP("Grundprofil 80 exkl. Dichtung, gebohrt und entgratet",Sprachindex!$A:$Z,Haftungsausschluß!$O$6,FALSE) &amp; IF('Kalkulation 1'!AH34," " &amp; H3,"")</f>
        <v>Grundprofil 80 exkl. Dichtung, gebohrt und entgratet</v>
      </c>
      <c r="H119" s="989"/>
      <c r="I119" s="989"/>
      <c r="J119" s="989"/>
      <c r="K119" s="989"/>
      <c r="L119" s="989"/>
      <c r="M119" s="990"/>
      <c r="N119" s="519"/>
      <c r="O119" s="518">
        <f t="shared" si="20"/>
        <v>0</v>
      </c>
      <c r="P119" s="324"/>
      <c r="Q119" s="315"/>
      <c r="R119" s="323"/>
      <c r="S119" s="310"/>
      <c r="T119" s="310"/>
      <c r="U119" s="310"/>
      <c r="V119" s="310"/>
      <c r="W119" s="310"/>
      <c r="X119" s="310"/>
      <c r="Y119" s="310"/>
      <c r="Z119" s="310"/>
      <c r="AA119" s="310"/>
      <c r="AB119" s="310"/>
      <c r="AC119" s="310"/>
      <c r="AD119" s="310"/>
      <c r="AE119" s="310"/>
      <c r="AF119" s="310"/>
      <c r="AG119" s="310"/>
      <c r="AH119" s="310"/>
      <c r="AI119" s="310"/>
    </row>
    <row r="120" spans="1:35" ht="32.1" customHeight="1">
      <c r="B120" s="615"/>
      <c r="C120" s="523">
        <v>2150</v>
      </c>
      <c r="D120" s="614">
        <f t="shared" si="9"/>
        <v>0</v>
      </c>
      <c r="E120" s="318" t="str">
        <f>VLOOKUP("[Stk]",Sprachindex!$A:$Z,Haftungsausschluß!$O$6,FALSE)</f>
        <v>[Stk]</v>
      </c>
      <c r="F120" s="318" t="str">
        <f>IF($L$14=1,Preisliste!$E$52,Preisliste!$F$52)</f>
        <v>H801222</v>
      </c>
      <c r="G120" s="988" t="str">
        <f>VLOOKUP("Grundprofil 80 exkl. Dichtung, gebohrt und entgratet",Sprachindex!$A:$Z,Haftungsausschluß!$O$6,FALSE) &amp; IF('Kalkulation 1'!AH34," " &amp; H3,"")</f>
        <v>Grundprofil 80 exkl. Dichtung, gebohrt und entgratet</v>
      </c>
      <c r="H120" s="989"/>
      <c r="I120" s="989"/>
      <c r="J120" s="989"/>
      <c r="K120" s="989"/>
      <c r="L120" s="989"/>
      <c r="M120" s="990"/>
      <c r="N120" s="519"/>
      <c r="O120" s="518">
        <f t="shared" si="20"/>
        <v>0</v>
      </c>
      <c r="P120" s="324"/>
      <c r="Q120" s="315"/>
      <c r="R120" s="323"/>
      <c r="S120" s="310"/>
      <c r="T120" s="310"/>
      <c r="U120" s="310"/>
      <c r="V120" s="310"/>
      <c r="W120" s="310"/>
      <c r="X120" s="310"/>
      <c r="Y120" s="310"/>
      <c r="Z120" s="310"/>
      <c r="AA120" s="310"/>
      <c r="AB120" s="310"/>
      <c r="AC120" s="310"/>
      <c r="AD120" s="310"/>
      <c r="AE120" s="310"/>
      <c r="AF120" s="310"/>
      <c r="AG120" s="310"/>
      <c r="AH120" s="310"/>
      <c r="AI120" s="310"/>
    </row>
    <row r="121" spans="1:35" ht="32.1" customHeight="1">
      <c r="B121" s="615"/>
      <c r="C121" s="523">
        <v>2720</v>
      </c>
      <c r="D121" s="614">
        <f t="shared" si="9"/>
        <v>0</v>
      </c>
      <c r="E121" s="318" t="str">
        <f>VLOOKUP("[Stk]",Sprachindex!$A:$Z,Haftungsausschluß!$O$6,FALSE)</f>
        <v>[Stk]</v>
      </c>
      <c r="F121" s="318" t="str">
        <f>IF($L$14=1,Preisliste!$E$54,Preisliste!$F$54)</f>
        <v>H801291</v>
      </c>
      <c r="G121" s="988" t="str">
        <f>VLOOKUP("Grundprofil 80 Sonderlänge exkl. Dichtung, (Stangenware)",Sprachindex!$A:$Z,Haftungsausschluß!$O$6,FALSE) &amp; IF('Kalkulation 1'!AH34," " &amp; H3,"")</f>
        <v>Grundprofil 80 Sonderlänge exkl. Dichtung, (Stangenware)</v>
      </c>
      <c r="H121" s="989"/>
      <c r="I121" s="989"/>
      <c r="J121" s="989"/>
      <c r="K121" s="989"/>
      <c r="L121" s="989"/>
      <c r="M121" s="990"/>
      <c r="N121" s="519"/>
      <c r="O121" s="518">
        <f>N121*D121*C121/1000</f>
        <v>0</v>
      </c>
      <c r="P121" s="324"/>
      <c r="Q121" s="315"/>
      <c r="R121" s="316"/>
      <c r="S121" s="310"/>
      <c r="T121" s="310"/>
      <c r="U121" s="310"/>
      <c r="V121" s="310"/>
      <c r="W121" s="310"/>
      <c r="X121" s="310"/>
      <c r="Y121" s="310"/>
      <c r="Z121" s="310"/>
      <c r="AA121" s="310"/>
      <c r="AB121" s="310"/>
      <c r="AC121" s="310"/>
      <c r="AD121" s="310"/>
      <c r="AE121" s="310"/>
      <c r="AF121" s="310"/>
      <c r="AG121" s="310"/>
      <c r="AH121" s="310"/>
      <c r="AI121" s="310"/>
    </row>
    <row r="122" spans="1:35" ht="32.1" customHeight="1">
      <c r="B122" s="615"/>
      <c r="C122" s="523">
        <v>750</v>
      </c>
      <c r="D122" s="614">
        <f t="shared" si="9"/>
        <v>0</v>
      </c>
      <c r="E122" s="318" t="str">
        <f>VLOOKUP("[Stk]",Sprachindex!$A:$Z,Haftungsausschluß!$O$6,FALSE)</f>
        <v>[Stk]</v>
      </c>
      <c r="F122" s="318" t="str">
        <f>IF($L$14=1,Preisliste!$E$56,Preisliste!$F$56)</f>
        <v>H501301</v>
      </c>
      <c r="G122" s="988" t="str">
        <f>VLOOKUP("Rundprofil 50 exkl. Dichtung, gebohrt und entgratet",Sprachindex!$A:$Z,Haftungsausschluß!$O$6,FALSE) &amp; " (7,81"  &amp; " " &amp; VLOOKUP("kg/Stk",Sprachindex!$A:$Z,Haftungsausschluß!$O$6,FALSE) &amp; ")"</f>
        <v>Rundprofil 50 exkl. Dichtung, gebohrt und entgratet (7,81 kg/Stk)</v>
      </c>
      <c r="H122" s="989"/>
      <c r="I122" s="989"/>
      <c r="J122" s="989"/>
      <c r="K122" s="989"/>
      <c r="L122" s="989"/>
      <c r="M122" s="990"/>
      <c r="N122" s="519"/>
      <c r="O122" s="518">
        <f t="shared" ref="O122" si="21">N122*D122</f>
        <v>0</v>
      </c>
      <c r="P122" s="324"/>
      <c r="Q122" s="315"/>
      <c r="R122" s="323"/>
      <c r="S122" s="310"/>
      <c r="T122" s="310"/>
      <c r="U122" s="310"/>
      <c r="V122" s="310"/>
      <c r="W122" s="310"/>
      <c r="X122" s="310"/>
      <c r="Y122" s="310"/>
      <c r="Z122" s="321">
        <f>ROUNDUP(C122/1000*10.401,2)</f>
        <v>7.81</v>
      </c>
      <c r="AA122" s="310"/>
      <c r="AB122" s="310"/>
      <c r="AC122" s="310"/>
      <c r="AD122" s="310"/>
      <c r="AE122" s="310"/>
      <c r="AF122" s="310"/>
      <c r="AG122" s="310"/>
      <c r="AH122" s="310"/>
      <c r="AI122" s="310"/>
    </row>
    <row r="123" spans="1:35" ht="32.1" customHeight="1">
      <c r="B123" s="615"/>
      <c r="C123" s="523">
        <v>1350</v>
      </c>
      <c r="D123" s="614">
        <f t="shared" si="9"/>
        <v>0</v>
      </c>
      <c r="E123" s="318" t="str">
        <f>VLOOKUP("[Stk]",Sprachindex!$A:$Z,Haftungsausschluß!$O$6,FALSE)</f>
        <v>[Stk]</v>
      </c>
      <c r="F123" s="318" t="str">
        <f>IF($L$14=1,Preisliste!$E$57,Preisliste!$F$57)</f>
        <v>H501311</v>
      </c>
      <c r="G123" s="988" t="str">
        <f>VLOOKUP("Rundprofil 50 exkl. Dichtung, gebohrt und entgratet",Sprachindex!$A:$Z,Haftungsausschluß!$O$6,FALSE) &amp; " (14,05"  &amp; " " &amp; VLOOKUP("kg/Stk",Sprachindex!$A:$Z,Haftungsausschluß!$O$6,FALSE) &amp; ")"</f>
        <v>Rundprofil 50 exkl. Dichtung, gebohrt und entgratet (14,05 kg/Stk)</v>
      </c>
      <c r="H123" s="989"/>
      <c r="I123" s="989"/>
      <c r="J123" s="989"/>
      <c r="K123" s="989"/>
      <c r="L123" s="989"/>
      <c r="M123" s="990"/>
      <c r="N123" s="519"/>
      <c r="O123" s="518">
        <f t="shared" ref="O123:O125" si="22">N123*D123</f>
        <v>0</v>
      </c>
      <c r="P123" s="324"/>
      <c r="Q123" s="315"/>
      <c r="R123" s="323"/>
      <c r="S123" s="310"/>
      <c r="T123" s="310"/>
      <c r="U123" s="310"/>
      <c r="V123" s="310"/>
      <c r="W123" s="310"/>
      <c r="X123" s="310"/>
      <c r="Y123" s="310"/>
      <c r="Z123" s="321">
        <f t="shared" ref="Z123:Z126" si="23">ROUNDUP(C123/1000*10.401,2)</f>
        <v>14.049999999999999</v>
      </c>
      <c r="AA123" s="310"/>
      <c r="AB123" s="310"/>
      <c r="AC123" s="310"/>
      <c r="AD123" s="310"/>
      <c r="AE123" s="310"/>
      <c r="AF123" s="310"/>
      <c r="AG123" s="310"/>
      <c r="AH123" s="310"/>
      <c r="AI123" s="310"/>
    </row>
    <row r="124" spans="1:35" ht="32.1" customHeight="1">
      <c r="B124" s="615"/>
      <c r="C124" s="523">
        <v>1750</v>
      </c>
      <c r="D124" s="614">
        <f t="shared" si="9"/>
        <v>0</v>
      </c>
      <c r="E124" s="318" t="str">
        <f>VLOOKUP("[Stk]",Sprachindex!$A:$Z,Haftungsausschluß!$O$6,FALSE)</f>
        <v>[Stk]</v>
      </c>
      <c r="F124" s="318" t="str">
        <f>IF($L$14=1,Preisliste!$E$58,Preisliste!$F$58)</f>
        <v>H501312</v>
      </c>
      <c r="G124" s="988" t="str">
        <f>VLOOKUP("Rundprofil 50 exkl. Dichtung, gebohrt und entgratet",Sprachindex!$A:$Z,Haftungsausschluß!$O$6,FALSE) &amp; " (18,21"  &amp; " " &amp; VLOOKUP("kg/Stk",Sprachindex!$A:$Z,Haftungsausschluß!$O$6,FALSE) &amp; ")"</f>
        <v>Rundprofil 50 exkl. Dichtung, gebohrt und entgratet (18,21 kg/Stk)</v>
      </c>
      <c r="H124" s="989"/>
      <c r="I124" s="989"/>
      <c r="J124" s="989"/>
      <c r="K124" s="989"/>
      <c r="L124" s="989"/>
      <c r="M124" s="990"/>
      <c r="N124" s="519"/>
      <c r="O124" s="518">
        <f t="shared" si="22"/>
        <v>0</v>
      </c>
      <c r="P124" s="324"/>
      <c r="Q124" s="315"/>
      <c r="R124" s="323"/>
      <c r="S124" s="310"/>
      <c r="T124" s="310"/>
      <c r="U124" s="310"/>
      <c r="V124" s="310"/>
      <c r="W124" s="310"/>
      <c r="X124" s="310"/>
      <c r="Y124" s="310"/>
      <c r="Z124" s="321">
        <f t="shared" si="23"/>
        <v>18.21</v>
      </c>
      <c r="AA124" s="310"/>
      <c r="AB124" s="310"/>
      <c r="AC124" s="310"/>
      <c r="AD124" s="310"/>
      <c r="AE124" s="310"/>
      <c r="AF124" s="310"/>
      <c r="AG124" s="310"/>
      <c r="AH124" s="310"/>
      <c r="AI124" s="310"/>
    </row>
    <row r="125" spans="1:35" ht="32.1" customHeight="1">
      <c r="B125" s="615"/>
      <c r="C125" s="523">
        <v>2150</v>
      </c>
      <c r="D125" s="614">
        <f t="shared" si="9"/>
        <v>0</v>
      </c>
      <c r="E125" s="318" t="str">
        <f>VLOOKUP("[Stk]",Sprachindex!$A:$Z,Haftungsausschluß!$O$6,FALSE)</f>
        <v>[Stk]</v>
      </c>
      <c r="F125" s="318" t="str">
        <f>IF($L$14=1,Preisliste!$E$59,Preisliste!$F$59)</f>
        <v>H501322</v>
      </c>
      <c r="G125" s="988" t="str">
        <f>VLOOKUP("Rundprofil 50 exkl. Dichtung, gebohrt und entgratet",Sprachindex!$A:$Z,Haftungsausschluß!$O$6,FALSE) &amp; " (22,37"  &amp; " " &amp; VLOOKUP("kg/Stk",Sprachindex!$A:$Z,Haftungsausschluß!$O$6,FALSE) &amp; ")"</f>
        <v>Rundprofil 50 exkl. Dichtung, gebohrt und entgratet (22,37 kg/Stk)</v>
      </c>
      <c r="H125" s="989"/>
      <c r="I125" s="989"/>
      <c r="J125" s="989"/>
      <c r="K125" s="989"/>
      <c r="L125" s="989"/>
      <c r="M125" s="990"/>
      <c r="N125" s="519"/>
      <c r="O125" s="518">
        <f t="shared" si="22"/>
        <v>0</v>
      </c>
      <c r="P125" s="324"/>
      <c r="Q125" s="315"/>
      <c r="R125" s="323"/>
      <c r="S125" s="310"/>
      <c r="T125" s="310"/>
      <c r="U125" s="310"/>
      <c r="V125" s="310"/>
      <c r="W125" s="310"/>
      <c r="X125" s="310"/>
      <c r="Y125" s="310"/>
      <c r="Z125" s="321">
        <f t="shared" si="23"/>
        <v>22.37</v>
      </c>
      <c r="AA125" s="310"/>
      <c r="AB125" s="310"/>
      <c r="AC125" s="310"/>
      <c r="AD125" s="310"/>
      <c r="AE125" s="310"/>
      <c r="AF125" s="310"/>
      <c r="AG125" s="310"/>
      <c r="AH125" s="310"/>
      <c r="AI125" s="310"/>
    </row>
    <row r="126" spans="1:35" ht="32.1" customHeight="1">
      <c r="B126" s="615"/>
      <c r="C126" s="523">
        <v>2220</v>
      </c>
      <c r="D126" s="614">
        <f t="shared" si="9"/>
        <v>0</v>
      </c>
      <c r="E126" s="318" t="str">
        <f>VLOOKUP("[Stk]",Sprachindex!$A:$Z,Haftungsausschluß!$O$6,FALSE)</f>
        <v>[Stk]</v>
      </c>
      <c r="F126" s="318">
        <f>IF($L$14=1,Preisliste!$E$60,Preisliste!$F$60)</f>
        <v>0</v>
      </c>
      <c r="G126" s="988" t="str">
        <f>VLOOKUP("Rundprofil 50 Sonderlänge exkl. Dichtung, (Stangenware)",Sprachindex!$A:$Z,Haftungsausschluß!$O$6,FALSE)</f>
        <v>Rundprofil 50 Sonderlänge exkl. Dichtung, (Stangenware)</v>
      </c>
      <c r="H126" s="989"/>
      <c r="I126" s="989"/>
      <c r="J126" s="989"/>
      <c r="K126" s="989"/>
      <c r="L126" s="989"/>
      <c r="M126" s="990"/>
      <c r="N126" s="519"/>
      <c r="O126" s="518">
        <f>N126*D126*C126/1000</f>
        <v>0</v>
      </c>
      <c r="P126" s="324"/>
      <c r="Q126" s="315"/>
      <c r="R126" s="316"/>
      <c r="S126" s="310"/>
      <c r="T126" s="310"/>
      <c r="U126" s="310"/>
      <c r="V126" s="310"/>
      <c r="W126" s="310"/>
      <c r="X126" s="310"/>
      <c r="Y126" s="310"/>
      <c r="Z126" s="321">
        <f t="shared" si="23"/>
        <v>23.1</v>
      </c>
      <c r="AA126" s="310"/>
      <c r="AB126" s="310"/>
      <c r="AC126" s="310"/>
      <c r="AD126" s="310"/>
      <c r="AE126" s="310"/>
      <c r="AF126" s="310"/>
      <c r="AG126" s="310"/>
      <c r="AH126" s="310"/>
      <c r="AI126" s="310"/>
    </row>
    <row r="127" spans="1:35" ht="32.1" customHeight="1">
      <c r="B127" s="615"/>
      <c r="C127" s="523">
        <v>750</v>
      </c>
      <c r="D127" s="614">
        <f t="shared" si="9"/>
        <v>0</v>
      </c>
      <c r="E127" s="318" t="str">
        <f>VLOOKUP("[Stk]",Sprachindex!$A:$Z,Haftungsausschluß!$O$6,FALSE)</f>
        <v>[Stk]</v>
      </c>
      <c r="F127" s="318" t="str">
        <f>IF($L$14=1,Preisliste!$E$62,Preisliste!$F$62)</f>
        <v>H801301</v>
      </c>
      <c r="G127" s="988" t="str">
        <f>VLOOKUP("Rundprofil 80 exkl. Dichtung, gebohrt und entgratet",Sprachindex!$A:$Z,Haftungsausschluß!$O$6,FALSE) &amp; " (8,45"  &amp; " " &amp; VLOOKUP("kg/Stk",Sprachindex!$A:$Z,Haftungsausschluß!$O$6,FALSE) &amp; ")"</f>
        <v>Rundprofil 80 exkl. Dichtung, gebohrt und entgratet (8,45 kg/Stk)</v>
      </c>
      <c r="H127" s="989"/>
      <c r="I127" s="989"/>
      <c r="J127" s="989"/>
      <c r="K127" s="989"/>
      <c r="L127" s="989"/>
      <c r="M127" s="990"/>
      <c r="N127" s="519"/>
      <c r="O127" s="518">
        <f t="shared" ref="O127" si="24">N127*D127</f>
        <v>0</v>
      </c>
      <c r="P127" s="324"/>
      <c r="Q127" s="315"/>
      <c r="R127" s="323"/>
      <c r="S127" s="310"/>
      <c r="T127" s="310"/>
      <c r="U127" s="310"/>
      <c r="V127" s="310"/>
      <c r="W127" s="310"/>
      <c r="X127" s="310"/>
      <c r="Y127" s="310"/>
      <c r="Z127" s="321">
        <f>ROUNDUP(C127/1000*11.258,2)</f>
        <v>8.4499999999999993</v>
      </c>
      <c r="AA127" s="310"/>
      <c r="AB127" s="310"/>
      <c r="AC127" s="310"/>
      <c r="AD127" s="310"/>
      <c r="AE127" s="310"/>
      <c r="AF127" s="310"/>
      <c r="AG127" s="310"/>
      <c r="AH127" s="310"/>
      <c r="AI127" s="310"/>
    </row>
    <row r="128" spans="1:35" s="533" customFormat="1" ht="32.1" customHeight="1">
      <c r="A128" s="288"/>
      <c r="B128" s="615"/>
      <c r="C128" s="523">
        <v>1350</v>
      </c>
      <c r="D128" s="614">
        <f t="shared" si="9"/>
        <v>0</v>
      </c>
      <c r="E128" s="318" t="str">
        <f>VLOOKUP("[Stk]",Sprachindex!$A:$Z,Haftungsausschluß!$O$6,FALSE)</f>
        <v>[Stk]</v>
      </c>
      <c r="F128" s="318" t="str">
        <f>IF($L$14=1,Preisliste!$E$63,Preisliste!$F$63)</f>
        <v>H801311</v>
      </c>
      <c r="G128" s="988" t="str">
        <f>VLOOKUP("Rundprofil 80 exkl. Dichtung, gebohrt und entgratet",Sprachindex!$A:$Z,Haftungsausschluß!$O$6,FALSE) &amp; " (15,20"  &amp; " " &amp; VLOOKUP("kg/Stk",Sprachindex!$A:$Z,Haftungsausschluß!$O$6,FALSE) &amp; ")"</f>
        <v>Rundprofil 80 exkl. Dichtung, gebohrt und entgratet (15,20 kg/Stk)</v>
      </c>
      <c r="H128" s="989"/>
      <c r="I128" s="989"/>
      <c r="J128" s="989"/>
      <c r="K128" s="989"/>
      <c r="L128" s="989"/>
      <c r="M128" s="990"/>
      <c r="N128" s="552"/>
      <c r="O128" s="550">
        <f t="shared" ref="O128:O130" si="25">N128*D128</f>
        <v>0</v>
      </c>
      <c r="P128" s="324"/>
      <c r="Q128" s="315"/>
      <c r="R128" s="526"/>
      <c r="S128" s="321"/>
      <c r="T128" s="321"/>
      <c r="U128" s="321"/>
      <c r="V128" s="321"/>
      <c r="W128" s="321"/>
      <c r="X128" s="321"/>
      <c r="Y128" s="321"/>
      <c r="Z128" s="321">
        <f t="shared" ref="Z128:Z131" si="26">ROUNDUP(C128/1000*11.258,2)</f>
        <v>15.2</v>
      </c>
      <c r="AA128" s="321"/>
      <c r="AB128" s="321"/>
      <c r="AC128" s="321"/>
      <c r="AD128" s="321"/>
      <c r="AE128" s="321"/>
      <c r="AF128" s="321"/>
      <c r="AG128" s="321"/>
      <c r="AH128" s="321"/>
      <c r="AI128" s="321"/>
    </row>
    <row r="129" spans="2:35" ht="32.1" customHeight="1">
      <c r="B129" s="615"/>
      <c r="C129" s="523">
        <v>1750</v>
      </c>
      <c r="D129" s="614">
        <f t="shared" si="9"/>
        <v>0</v>
      </c>
      <c r="E129" s="318" t="str">
        <f>VLOOKUP("[Stk]",Sprachindex!$A:$Z,Haftungsausschluß!$O$6,FALSE)</f>
        <v>[Stk]</v>
      </c>
      <c r="F129" s="318" t="str">
        <f>IF($L$14=1,Preisliste!$E$64,Preisliste!$F$64)</f>
        <v>H801312</v>
      </c>
      <c r="G129" s="988" t="str">
        <f>VLOOKUP("Rundprofil 80 exkl. Dichtung, gebohrt und entgratet",Sprachindex!$A:$Z,Haftungsausschluß!$O$6,FALSE) &amp; " (19,71"  &amp; " " &amp; VLOOKUP("kg/Stk",Sprachindex!$A:$Z,Haftungsausschluß!$O$6,FALSE) &amp; ")"</f>
        <v>Rundprofil 80 exkl. Dichtung, gebohrt und entgratet (19,71 kg/Stk)</v>
      </c>
      <c r="H129" s="989"/>
      <c r="I129" s="989"/>
      <c r="J129" s="989"/>
      <c r="K129" s="989"/>
      <c r="L129" s="989"/>
      <c r="M129" s="990"/>
      <c r="N129" s="519"/>
      <c r="O129" s="518">
        <f t="shared" si="25"/>
        <v>0</v>
      </c>
      <c r="P129" s="324"/>
      <c r="Q129" s="315"/>
      <c r="R129" s="323"/>
      <c r="S129" s="310"/>
      <c r="T129" s="310"/>
      <c r="U129" s="310"/>
      <c r="V129" s="310"/>
      <c r="W129" s="310"/>
      <c r="X129" s="310"/>
      <c r="Y129" s="310"/>
      <c r="Z129" s="321">
        <f t="shared" si="26"/>
        <v>19.71</v>
      </c>
      <c r="AA129" s="310"/>
      <c r="AB129" s="310"/>
      <c r="AC129" s="310"/>
      <c r="AD129" s="310"/>
      <c r="AE129" s="310"/>
      <c r="AF129" s="310"/>
      <c r="AG129" s="310"/>
      <c r="AH129" s="310"/>
      <c r="AI129" s="310"/>
    </row>
    <row r="130" spans="2:35" ht="32.1" customHeight="1">
      <c r="B130" s="615"/>
      <c r="C130" s="523">
        <v>2150</v>
      </c>
      <c r="D130" s="614">
        <f t="shared" si="9"/>
        <v>0</v>
      </c>
      <c r="E130" s="318" t="str">
        <f>VLOOKUP("[Stk]",Sprachindex!$A:$Z,Haftungsausschluß!$O$6,FALSE)</f>
        <v>[Stk]</v>
      </c>
      <c r="F130" s="318" t="str">
        <f>IF($L$14=1,Preisliste!$E$65,Preisliste!$F$65)</f>
        <v>H801322</v>
      </c>
      <c r="G130" s="988" t="str">
        <f>VLOOKUP("Rundprofil 80 exkl. Dichtung, gebohrt und entgratet",Sprachindex!$A:$Z,Haftungsausschluß!$O$6,FALSE) &amp; " (24,21"  &amp; " " &amp; VLOOKUP("kg/Stk",Sprachindex!$A:$Z,Haftungsausschluß!$O$6,FALSE) &amp; ")"</f>
        <v>Rundprofil 80 exkl. Dichtung, gebohrt und entgratet (24,21 kg/Stk)</v>
      </c>
      <c r="H130" s="989"/>
      <c r="I130" s="989"/>
      <c r="J130" s="989"/>
      <c r="K130" s="989"/>
      <c r="L130" s="989"/>
      <c r="M130" s="990"/>
      <c r="N130" s="519"/>
      <c r="O130" s="518">
        <f t="shared" si="25"/>
        <v>0</v>
      </c>
      <c r="P130" s="324"/>
      <c r="Q130" s="315"/>
      <c r="R130" s="323"/>
      <c r="S130" s="310"/>
      <c r="T130" s="310"/>
      <c r="U130" s="310"/>
      <c r="V130" s="310"/>
      <c r="W130" s="310"/>
      <c r="X130" s="310"/>
      <c r="Y130" s="310"/>
      <c r="Z130" s="321">
        <f t="shared" si="26"/>
        <v>24.21</v>
      </c>
      <c r="AA130" s="310"/>
      <c r="AB130" s="310"/>
      <c r="AC130" s="310"/>
      <c r="AD130" s="310"/>
      <c r="AE130" s="310"/>
      <c r="AF130" s="310"/>
      <c r="AG130" s="310"/>
      <c r="AH130" s="310"/>
      <c r="AI130" s="310"/>
    </row>
    <row r="131" spans="2:35" ht="32.1" customHeight="1">
      <c r="B131" s="615"/>
      <c r="C131" s="523">
        <v>3320</v>
      </c>
      <c r="D131" s="614">
        <f t="shared" si="9"/>
        <v>0</v>
      </c>
      <c r="E131" s="318" t="str">
        <f>VLOOKUP("[Stk]",Sprachindex!$A:$Z,Haftungsausschluß!$O$6,FALSE)</f>
        <v>[Stk]</v>
      </c>
      <c r="F131" s="318">
        <f>IF($L$14=1,Preisliste!$E$66,Preisliste!$F$66)</f>
        <v>0</v>
      </c>
      <c r="G131" s="988" t="str">
        <f>VLOOKUP("Rundprofil 80 Sonderlänge exkl. Dichtung, (Stangenware)",Sprachindex!$A:$Z,Haftungsausschluß!$O$6,FALSE)</f>
        <v>Rundprofil 80 Sonderlänge exkl. Dichtung, (Stangenware)</v>
      </c>
      <c r="H131" s="989"/>
      <c r="I131" s="989"/>
      <c r="J131" s="989"/>
      <c r="K131" s="989"/>
      <c r="L131" s="989"/>
      <c r="M131" s="990"/>
      <c r="N131" s="519"/>
      <c r="O131" s="518">
        <f>N131*D131*C131/1000</f>
        <v>0</v>
      </c>
      <c r="P131" s="324"/>
      <c r="Q131" s="315"/>
      <c r="R131" s="316"/>
      <c r="S131" s="310"/>
      <c r="T131" s="310"/>
      <c r="U131" s="310"/>
      <c r="V131" s="310"/>
      <c r="W131" s="310"/>
      <c r="X131" s="310"/>
      <c r="Y131" s="310"/>
      <c r="Z131" s="321">
        <f t="shared" si="26"/>
        <v>37.379999999999995</v>
      </c>
      <c r="AA131" s="310"/>
      <c r="AB131" s="310"/>
      <c r="AC131" s="310"/>
      <c r="AD131" s="310"/>
      <c r="AE131" s="310"/>
      <c r="AF131" s="310"/>
      <c r="AG131" s="310"/>
      <c r="AH131" s="310"/>
      <c r="AI131" s="310"/>
    </row>
    <row r="132" spans="2:35" ht="32.1" customHeight="1">
      <c r="B132" s="615"/>
      <c r="C132" s="523">
        <v>750</v>
      </c>
      <c r="D132" s="614">
        <f t="shared" si="9"/>
        <v>0</v>
      </c>
      <c r="E132" s="318" t="str">
        <f>VLOOKUP("[Stk]",Sprachindex!$A:$Z,Haftungsausschluß!$O$6,FALSE)</f>
        <v>[Stk]</v>
      </c>
      <c r="F132" s="318" t="str">
        <f>IF($L$14=1,Preisliste!$E$68,Preisliste!$F$68)</f>
        <v>H801340</v>
      </c>
      <c r="G132" s="988" t="str">
        <f>VLOOKUP("Rundprofil 80 gr. exkl. Dichtung, gebohrt und entgratet",Sprachindex!$A:$Z,Haftungsausschluß!$O$6,FALSE) &amp; " (10,93"  &amp; " " &amp; VLOOKUP("kg/Stk",Sprachindex!$A:$Z,Haftungsausschluß!$O$6,FALSE) &amp; ")"</f>
        <v>Rundprofil 80 gr. exkl. Dichtung, gebohrt und entgratet (10,93 kg/Stk)</v>
      </c>
      <c r="H132" s="989"/>
      <c r="I132" s="989"/>
      <c r="J132" s="989"/>
      <c r="K132" s="989"/>
      <c r="L132" s="989"/>
      <c r="M132" s="990"/>
      <c r="N132" s="519"/>
      <c r="O132" s="518">
        <f t="shared" ref="O132" si="27">N132*D132</f>
        <v>0</v>
      </c>
      <c r="P132" s="324"/>
      <c r="Q132" s="315"/>
      <c r="R132" s="323"/>
      <c r="S132" s="310"/>
      <c r="T132" s="310"/>
      <c r="U132" s="310"/>
      <c r="V132" s="310"/>
      <c r="W132" s="310"/>
      <c r="X132" s="310"/>
      <c r="Y132" s="310"/>
      <c r="Z132" s="321">
        <f>ROUNDUP(C132/1000*14.5690515,2)</f>
        <v>10.93</v>
      </c>
      <c r="AA132" s="310"/>
      <c r="AB132" s="310"/>
      <c r="AC132" s="310"/>
      <c r="AD132" s="310"/>
      <c r="AE132" s="310"/>
      <c r="AF132" s="310"/>
      <c r="AG132" s="310"/>
      <c r="AH132" s="310"/>
      <c r="AI132" s="310"/>
    </row>
    <row r="133" spans="2:35" ht="32.1" customHeight="1">
      <c r="B133" s="615"/>
      <c r="C133" s="523">
        <v>1350</v>
      </c>
      <c r="D133" s="614">
        <f t="shared" si="9"/>
        <v>0</v>
      </c>
      <c r="E133" s="318" t="str">
        <f>VLOOKUP("[Stk]",Sprachindex!$A:$Z,Haftungsausschluß!$O$6,FALSE)</f>
        <v>[Stk]</v>
      </c>
      <c r="F133" s="318" t="str">
        <f>IF($L$14=1,Preisliste!$E$69,Preisliste!$F$69)</f>
        <v>H801341</v>
      </c>
      <c r="G133" s="988" t="str">
        <f>VLOOKUP("Rundprofil 80 gr. exkl. Dichtung, gebohrt und entgratet",Sprachindex!$A:$Z,Haftungsausschluß!$O$6,FALSE) &amp; " (19,67"  &amp; " " &amp; VLOOKUP("kg/Stk",Sprachindex!$A:$Z,Haftungsausschluß!$O$6,FALSE) &amp; ")"</f>
        <v>Rundprofil 80 gr. exkl. Dichtung, gebohrt und entgratet (19,67 kg/Stk)</v>
      </c>
      <c r="H133" s="989"/>
      <c r="I133" s="989"/>
      <c r="J133" s="989"/>
      <c r="K133" s="989"/>
      <c r="L133" s="989"/>
      <c r="M133" s="990"/>
      <c r="N133" s="519"/>
      <c r="O133" s="518">
        <f t="shared" ref="O133:O135" si="28">N133*D133</f>
        <v>0</v>
      </c>
      <c r="P133" s="324"/>
      <c r="Q133" s="315"/>
      <c r="R133" s="323"/>
      <c r="S133" s="310"/>
      <c r="T133" s="310"/>
      <c r="U133" s="310"/>
      <c r="V133" s="310"/>
      <c r="W133" s="310"/>
      <c r="X133" s="310"/>
      <c r="Y133" s="310"/>
      <c r="Z133" s="321">
        <f t="shared" ref="Z133:Z136" si="29">ROUNDUP(C133/1000*14.5690515,2)</f>
        <v>19.670000000000002</v>
      </c>
      <c r="AA133" s="310"/>
      <c r="AB133" s="310"/>
      <c r="AC133" s="310"/>
      <c r="AD133" s="310"/>
      <c r="AE133" s="310"/>
      <c r="AF133" s="310"/>
      <c r="AG133" s="310"/>
      <c r="AH133" s="310"/>
      <c r="AI133" s="310"/>
    </row>
    <row r="134" spans="2:35" ht="32.1" customHeight="1">
      <c r="B134" s="615"/>
      <c r="C134" s="523">
        <v>1750</v>
      </c>
      <c r="D134" s="614">
        <f t="shared" si="9"/>
        <v>0</v>
      </c>
      <c r="E134" s="318" t="str">
        <f>VLOOKUP("[Stk]",Sprachindex!$A:$Z,Haftungsausschluß!$O$6,FALSE)</f>
        <v>[Stk]</v>
      </c>
      <c r="F134" s="318" t="str">
        <f>IF($L$14=1,Preisliste!$E$70,Preisliste!$F$70)</f>
        <v>H801342</v>
      </c>
      <c r="G134" s="988" t="str">
        <f>VLOOKUP("Rundprofil 80 gr. exkl. Dichtung, gebohrt und entgratet",Sprachindex!$A:$Z,Haftungsausschluß!$O$6,FALSE) &amp; " (25,50"  &amp; " " &amp; VLOOKUP("kg/Stk",Sprachindex!$A:$Z,Haftungsausschluß!$O$6,FALSE) &amp; ")"</f>
        <v>Rundprofil 80 gr. exkl. Dichtung, gebohrt und entgratet (25,50 kg/Stk)</v>
      </c>
      <c r="H134" s="989"/>
      <c r="I134" s="989"/>
      <c r="J134" s="989"/>
      <c r="K134" s="989"/>
      <c r="L134" s="989"/>
      <c r="M134" s="990"/>
      <c r="N134" s="519"/>
      <c r="O134" s="518">
        <f t="shared" si="28"/>
        <v>0</v>
      </c>
      <c r="P134" s="324"/>
      <c r="Q134" s="315"/>
      <c r="R134" s="323"/>
      <c r="S134" s="310"/>
      <c r="T134" s="310"/>
      <c r="U134" s="310"/>
      <c r="V134" s="310"/>
      <c r="W134" s="310"/>
      <c r="X134" s="310"/>
      <c r="Y134" s="310"/>
      <c r="Z134" s="321">
        <f t="shared" si="29"/>
        <v>25.5</v>
      </c>
      <c r="AA134" s="310"/>
      <c r="AB134" s="310"/>
      <c r="AC134" s="310"/>
      <c r="AD134" s="310"/>
      <c r="AE134" s="310"/>
      <c r="AF134" s="310"/>
      <c r="AG134" s="310"/>
      <c r="AH134" s="310"/>
      <c r="AI134" s="310"/>
    </row>
    <row r="135" spans="2:35" ht="32.1" customHeight="1">
      <c r="B135" s="615"/>
      <c r="C135" s="523">
        <v>2150</v>
      </c>
      <c r="D135" s="614">
        <f t="shared" si="9"/>
        <v>0</v>
      </c>
      <c r="E135" s="318" t="str">
        <f>VLOOKUP("[Stk]",Sprachindex!$A:$Z,Haftungsausschluß!$O$6,FALSE)</f>
        <v>[Stk]</v>
      </c>
      <c r="F135" s="318" t="str">
        <f>IF($L$14=1,Preisliste!$E$71,Preisliste!$F$71)</f>
        <v>H801343</v>
      </c>
      <c r="G135" s="988" t="str">
        <f>VLOOKUP("Rundprofil 80 gr. exkl. Dichtung, gebohrt und entgratet",Sprachindex!$A:$Z,Haftungsausschluß!$O$6,FALSE) &amp; " (31,33"  &amp; " " &amp; VLOOKUP("kg/Stk",Sprachindex!$A:$Z,Haftungsausschluß!$O$6,FALSE) &amp; ")"</f>
        <v>Rundprofil 80 gr. exkl. Dichtung, gebohrt und entgratet (31,33 kg/Stk)</v>
      </c>
      <c r="H135" s="989"/>
      <c r="I135" s="989"/>
      <c r="J135" s="989"/>
      <c r="K135" s="989"/>
      <c r="L135" s="989"/>
      <c r="M135" s="990"/>
      <c r="N135" s="519"/>
      <c r="O135" s="518">
        <f t="shared" si="28"/>
        <v>0</v>
      </c>
      <c r="P135" s="324"/>
      <c r="Q135" s="315"/>
      <c r="R135" s="323"/>
      <c r="S135" s="310"/>
      <c r="T135" s="310"/>
      <c r="U135" s="310"/>
      <c r="V135" s="310"/>
      <c r="W135" s="310"/>
      <c r="X135" s="310"/>
      <c r="Y135" s="310"/>
      <c r="Z135" s="321">
        <f t="shared" si="29"/>
        <v>31.330000000000002</v>
      </c>
      <c r="AA135" s="310"/>
      <c r="AB135" s="310"/>
      <c r="AC135" s="310"/>
      <c r="AD135" s="310"/>
      <c r="AE135" s="310"/>
      <c r="AF135" s="310"/>
      <c r="AG135" s="310"/>
      <c r="AH135" s="310"/>
      <c r="AI135" s="310"/>
    </row>
    <row r="136" spans="2:35" ht="32.1" customHeight="1">
      <c r="B136" s="615"/>
      <c r="C136" s="523">
        <v>3120</v>
      </c>
      <c r="D136" s="614">
        <f t="shared" si="9"/>
        <v>0</v>
      </c>
      <c r="E136" s="318" t="str">
        <f>VLOOKUP("[Stk]",Sprachindex!$A:$Z,Haftungsausschluß!$O$6,FALSE)</f>
        <v>[Stk]</v>
      </c>
      <c r="F136" s="318">
        <f>IF($L$14=1,Preisliste!$E$72,Preisliste!$F$72)</f>
        <v>0</v>
      </c>
      <c r="G136" s="988" t="str">
        <f>VLOOKUP("Rundprofil 80 gr. Sonderlänge exkl. Dichtung, (Stangenware)",Sprachindex!$A:$Z,Haftungsausschluß!$O$6,FALSE)</f>
        <v>Rundprofil 80 gr. Sonderlänge exkl. Dichtung, (Stangenware)</v>
      </c>
      <c r="H136" s="989"/>
      <c r="I136" s="989"/>
      <c r="J136" s="989"/>
      <c r="K136" s="989"/>
      <c r="L136" s="989"/>
      <c r="M136" s="990"/>
      <c r="N136" s="519"/>
      <c r="O136" s="518">
        <f>N136*D136*C136/1000</f>
        <v>0</v>
      </c>
      <c r="P136" s="324"/>
      <c r="Q136" s="315"/>
      <c r="R136" s="316"/>
      <c r="S136" s="310"/>
      <c r="T136" s="310"/>
      <c r="U136" s="310"/>
      <c r="V136" s="310"/>
      <c r="W136" s="310"/>
      <c r="X136" s="310"/>
      <c r="Y136" s="310"/>
      <c r="Z136" s="321">
        <f t="shared" si="29"/>
        <v>45.46</v>
      </c>
      <c r="AA136" s="310"/>
      <c r="AB136" s="310"/>
      <c r="AC136" s="310"/>
      <c r="AD136" s="310"/>
      <c r="AE136" s="310"/>
      <c r="AF136" s="310"/>
      <c r="AG136" s="310"/>
      <c r="AH136" s="310"/>
      <c r="AI136" s="310"/>
    </row>
    <row r="137" spans="2:35" ht="32.1" customHeight="1">
      <c r="B137" s="615"/>
      <c r="C137" s="523">
        <v>750</v>
      </c>
      <c r="D137" s="614">
        <f t="shared" si="9"/>
        <v>0</v>
      </c>
      <c r="E137" s="318" t="str">
        <f>VLOOKUP("[Stk]",Sprachindex!$A:$Z,Haftungsausschluß!$O$6,FALSE)</f>
        <v>[Stk]</v>
      </c>
      <c r="F137" s="318" t="str">
        <f>IF($L$14=1,Preisliste!$E$74,Preisliste!$F$74)</f>
        <v>H501600</v>
      </c>
      <c r="G137" s="988" t="str">
        <f>VLOOKUP("Rundprofil 50-90° exkl. Dichtung, gebohrt und entgratet",Sprachindex!$A:$Z,Haftungsausschluß!$O$6,FALSE)</f>
        <v>Rundprofil 50-90° exkl. Dichtung, gebohrt und entgratet</v>
      </c>
      <c r="H137" s="989"/>
      <c r="I137" s="989"/>
      <c r="J137" s="989"/>
      <c r="K137" s="989"/>
      <c r="L137" s="989"/>
      <c r="M137" s="990"/>
      <c r="N137" s="519"/>
      <c r="O137" s="518">
        <f t="shared" ref="O137" si="30">N137*D137</f>
        <v>0</v>
      </c>
      <c r="P137" s="324"/>
      <c r="Q137" s="315"/>
      <c r="R137" s="323"/>
      <c r="S137" s="310"/>
      <c r="T137" s="310"/>
      <c r="U137" s="310"/>
      <c r="V137" s="310"/>
      <c r="W137" s="310"/>
      <c r="X137" s="310"/>
      <c r="Y137" s="310"/>
      <c r="Z137" s="310"/>
      <c r="AA137" s="310"/>
      <c r="AB137" s="310"/>
      <c r="AC137" s="310"/>
      <c r="AD137" s="310"/>
      <c r="AE137" s="310"/>
      <c r="AF137" s="310"/>
      <c r="AG137" s="310"/>
      <c r="AH137" s="310"/>
      <c r="AI137" s="310"/>
    </row>
    <row r="138" spans="2:35" ht="32.1" customHeight="1">
      <c r="B138" s="615"/>
      <c r="C138" s="523">
        <v>1350</v>
      </c>
      <c r="D138" s="614">
        <f t="shared" si="9"/>
        <v>0</v>
      </c>
      <c r="E138" s="318" t="str">
        <f>VLOOKUP("[Stk]",Sprachindex!$A:$Z,Haftungsausschluß!$O$6,FALSE)</f>
        <v>[Stk]</v>
      </c>
      <c r="F138" s="318" t="str">
        <f>IF($L$14=1,Preisliste!$E$75,Preisliste!$F$75)</f>
        <v>H501601</v>
      </c>
      <c r="G138" s="988" t="str">
        <f>VLOOKUP("Rundprofil 50-90° exkl. Dichtung, gebohrt und entgratet",Sprachindex!$A:$Z,Haftungsausschluß!$O$6,FALSE)</f>
        <v>Rundprofil 50-90° exkl. Dichtung, gebohrt und entgratet</v>
      </c>
      <c r="H138" s="989"/>
      <c r="I138" s="989"/>
      <c r="J138" s="989"/>
      <c r="K138" s="989"/>
      <c r="L138" s="989"/>
      <c r="M138" s="990"/>
      <c r="N138" s="519"/>
      <c r="O138" s="518">
        <f t="shared" ref="O138:O140" si="31">N138*D138</f>
        <v>0</v>
      </c>
      <c r="P138" s="324"/>
      <c r="Q138" s="315"/>
      <c r="R138" s="323"/>
      <c r="S138" s="310"/>
      <c r="T138" s="310"/>
      <c r="U138" s="310"/>
      <c r="V138" s="310"/>
      <c r="W138" s="310"/>
      <c r="X138" s="310"/>
      <c r="Y138" s="310"/>
      <c r="Z138" s="310"/>
      <c r="AA138" s="310"/>
      <c r="AB138" s="310"/>
      <c r="AC138" s="310"/>
      <c r="AD138" s="310"/>
      <c r="AE138" s="310"/>
      <c r="AF138" s="310"/>
      <c r="AG138" s="310"/>
      <c r="AH138" s="310"/>
      <c r="AI138" s="310"/>
    </row>
    <row r="139" spans="2:35" ht="32.1" customHeight="1">
      <c r="B139" s="615"/>
      <c r="C139" s="523">
        <v>1750</v>
      </c>
      <c r="D139" s="614">
        <f t="shared" si="9"/>
        <v>0</v>
      </c>
      <c r="E139" s="318" t="str">
        <f>VLOOKUP("[Stk]",Sprachindex!$A:$Z,Haftungsausschluß!$O$6,FALSE)</f>
        <v>[Stk]</v>
      </c>
      <c r="F139" s="318" t="str">
        <f>IF($L$14=1,Preisliste!$E$76,Preisliste!$F$76)</f>
        <v>H501602</v>
      </c>
      <c r="G139" s="988" t="str">
        <f>VLOOKUP("Rundprofil 50-90° exkl. Dichtung, gebohrt und entgratet",Sprachindex!$A:$Z,Haftungsausschluß!$O$6,FALSE)</f>
        <v>Rundprofil 50-90° exkl. Dichtung, gebohrt und entgratet</v>
      </c>
      <c r="H139" s="989"/>
      <c r="I139" s="989"/>
      <c r="J139" s="989"/>
      <c r="K139" s="989"/>
      <c r="L139" s="989"/>
      <c r="M139" s="990"/>
      <c r="N139" s="519"/>
      <c r="O139" s="518">
        <f t="shared" si="31"/>
        <v>0</v>
      </c>
      <c r="P139" s="324"/>
      <c r="Q139" s="315"/>
      <c r="R139" s="323"/>
      <c r="S139" s="310"/>
      <c r="T139" s="310"/>
      <c r="U139" s="310"/>
      <c r="V139" s="310"/>
      <c r="W139" s="310"/>
      <c r="X139" s="310"/>
      <c r="Y139" s="310"/>
      <c r="Z139" s="310"/>
      <c r="AA139" s="310"/>
      <c r="AB139" s="310"/>
      <c r="AC139" s="310"/>
      <c r="AD139" s="310"/>
      <c r="AE139" s="310"/>
      <c r="AF139" s="310"/>
      <c r="AG139" s="310"/>
      <c r="AH139" s="310"/>
      <c r="AI139" s="310"/>
    </row>
    <row r="140" spans="2:35" ht="32.1" customHeight="1">
      <c r="B140" s="615"/>
      <c r="C140" s="523">
        <v>2150</v>
      </c>
      <c r="D140" s="614">
        <f t="shared" si="9"/>
        <v>0</v>
      </c>
      <c r="E140" s="318" t="str">
        <f>VLOOKUP("[Stk]",Sprachindex!$A:$Z,Haftungsausschluß!$O$6,FALSE)</f>
        <v>[Stk]</v>
      </c>
      <c r="F140" s="318" t="str">
        <f>IF($L$14=1,Preisliste!$E$77,Preisliste!$F$77)</f>
        <v>H501603</v>
      </c>
      <c r="G140" s="988" t="str">
        <f>VLOOKUP("Rundprofil 50-90° exkl. Dichtung, gebohrt und entgratet",Sprachindex!$A:$Z,Haftungsausschluß!$O$6,FALSE)</f>
        <v>Rundprofil 50-90° exkl. Dichtung, gebohrt und entgratet</v>
      </c>
      <c r="H140" s="989"/>
      <c r="I140" s="989"/>
      <c r="J140" s="989"/>
      <c r="K140" s="989"/>
      <c r="L140" s="989"/>
      <c r="M140" s="990"/>
      <c r="N140" s="519"/>
      <c r="O140" s="518">
        <f t="shared" si="31"/>
        <v>0</v>
      </c>
      <c r="P140" s="324"/>
      <c r="Q140" s="315"/>
      <c r="R140" s="323"/>
      <c r="S140" s="310"/>
      <c r="T140" s="310"/>
      <c r="U140" s="310"/>
      <c r="V140" s="310"/>
      <c r="W140" s="310"/>
      <c r="X140" s="310"/>
      <c r="Y140" s="310"/>
      <c r="Z140" s="310"/>
      <c r="AA140" s="310"/>
      <c r="AB140" s="310"/>
      <c r="AC140" s="310"/>
      <c r="AD140" s="310"/>
      <c r="AE140" s="310"/>
      <c r="AF140" s="310"/>
      <c r="AG140" s="310"/>
      <c r="AH140" s="310"/>
      <c r="AI140" s="310"/>
    </row>
    <row r="141" spans="2:35" ht="32.1" customHeight="1">
      <c r="B141" s="615"/>
      <c r="C141" s="523">
        <v>2720</v>
      </c>
      <c r="D141" s="614">
        <f t="shared" si="9"/>
        <v>0</v>
      </c>
      <c r="E141" s="318" t="str">
        <f>VLOOKUP("[Stk]",Sprachindex!$A:$Z,Haftungsausschluß!$O$6,FALSE)</f>
        <v>[Stk]</v>
      </c>
      <c r="F141" s="318">
        <f>IF($L$14=1,Preisliste!$E$78,Preisliste!$F$78)</f>
        <v>0</v>
      </c>
      <c r="G141" s="988" t="str">
        <f>VLOOKUP("Rundprofil 50-90° Sonderlänge exkl. Dichtung, (Stangenware)",Sprachindex!$A:$Z,Haftungsausschluß!$O$6,FALSE)</f>
        <v>Rundprofil 50-90° Sonderlänge exkl. Dichtung, (Stangenware)</v>
      </c>
      <c r="H141" s="989"/>
      <c r="I141" s="989"/>
      <c r="J141" s="989"/>
      <c r="K141" s="989"/>
      <c r="L141" s="989"/>
      <c r="M141" s="990"/>
      <c r="N141" s="519"/>
      <c r="O141" s="518">
        <f>N141*D141*C141/1000</f>
        <v>0</v>
      </c>
      <c r="P141" s="324"/>
      <c r="Q141" s="315"/>
      <c r="R141" s="316"/>
      <c r="S141" s="310"/>
      <c r="T141" s="310"/>
      <c r="U141" s="310"/>
      <c r="V141" s="310"/>
      <c r="W141" s="310"/>
      <c r="X141" s="310"/>
      <c r="Y141" s="310"/>
      <c r="Z141" s="310"/>
      <c r="AA141" s="310"/>
      <c r="AB141" s="310"/>
      <c r="AC141" s="310"/>
      <c r="AD141" s="310"/>
      <c r="AE141" s="310"/>
      <c r="AF141" s="310"/>
      <c r="AG141" s="310"/>
      <c r="AH141" s="310"/>
      <c r="AI141" s="310"/>
    </row>
    <row r="142" spans="2:35" ht="32.1" customHeight="1">
      <c r="B142" s="615"/>
      <c r="C142" s="523">
        <v>750</v>
      </c>
      <c r="D142" s="614">
        <f t="shared" si="9"/>
        <v>0</v>
      </c>
      <c r="E142" s="318" t="str">
        <f>VLOOKUP("[Stk]",Sprachindex!$A:$Z,Haftungsausschluß!$O$6,FALSE)</f>
        <v>[Stk]</v>
      </c>
      <c r="F142" s="318" t="str">
        <f>IF($L$14=1,Preisliste!$E$80,Preisliste!$F$80)</f>
        <v>H801600</v>
      </c>
      <c r="G142" s="988" t="str">
        <f>VLOOKUP("Rundprofil 80-90° exkl. Dichtung, gebohrt und entgratet",Sprachindex!$A:$Z,Haftungsausschluß!$O$6,FALSE)</f>
        <v>Rundprofil 80-90° exkl. Dichtung, gebohrt und entgratet</v>
      </c>
      <c r="H142" s="989"/>
      <c r="I142" s="989"/>
      <c r="J142" s="989"/>
      <c r="K142" s="989"/>
      <c r="L142" s="989"/>
      <c r="M142" s="990"/>
      <c r="N142" s="519"/>
      <c r="O142" s="518">
        <f t="shared" ref="O142" si="32">N142*D142</f>
        <v>0</v>
      </c>
      <c r="P142" s="324"/>
      <c r="Q142" s="315"/>
      <c r="R142" s="323"/>
      <c r="S142" s="310"/>
      <c r="T142" s="310"/>
      <c r="U142" s="310"/>
      <c r="V142" s="310"/>
      <c r="W142" s="310"/>
      <c r="X142" s="310"/>
      <c r="Y142" s="310"/>
      <c r="Z142" s="310"/>
      <c r="AA142" s="310"/>
      <c r="AB142" s="310"/>
      <c r="AC142" s="310"/>
      <c r="AD142" s="310"/>
      <c r="AE142" s="310"/>
      <c r="AF142" s="310"/>
      <c r="AG142" s="310"/>
      <c r="AH142" s="310"/>
      <c r="AI142" s="310"/>
    </row>
    <row r="143" spans="2:35" ht="32.1" customHeight="1">
      <c r="B143" s="615"/>
      <c r="C143" s="523">
        <v>1350</v>
      </c>
      <c r="D143" s="614">
        <f t="shared" si="9"/>
        <v>0</v>
      </c>
      <c r="E143" s="318" t="str">
        <f>VLOOKUP("[Stk]",Sprachindex!$A:$Z,Haftungsausschluß!$O$6,FALSE)</f>
        <v>[Stk]</v>
      </c>
      <c r="F143" s="318" t="str">
        <f>IF($L$14=1,Preisliste!$E$81,Preisliste!$F$81)</f>
        <v>H801601</v>
      </c>
      <c r="G143" s="988" t="str">
        <f>VLOOKUP("Rundprofil 80-90° exkl. Dichtung, gebohrt und entgratet",Sprachindex!$A:$Z,Haftungsausschluß!$O$6,FALSE)</f>
        <v>Rundprofil 80-90° exkl. Dichtung, gebohrt und entgratet</v>
      </c>
      <c r="H143" s="989"/>
      <c r="I143" s="989"/>
      <c r="J143" s="989"/>
      <c r="K143" s="989"/>
      <c r="L143" s="989"/>
      <c r="M143" s="990"/>
      <c r="N143" s="519"/>
      <c r="O143" s="518">
        <f t="shared" ref="O143:O145" si="33">N143*D143</f>
        <v>0</v>
      </c>
      <c r="P143" s="324"/>
      <c r="Q143" s="315"/>
      <c r="R143" s="323"/>
      <c r="S143" s="310"/>
      <c r="T143" s="310"/>
      <c r="U143" s="310"/>
      <c r="V143" s="310"/>
      <c r="W143" s="310"/>
      <c r="X143" s="310"/>
      <c r="Y143" s="310"/>
      <c r="Z143" s="310"/>
      <c r="AA143" s="310"/>
      <c r="AB143" s="310"/>
      <c r="AC143" s="310"/>
      <c r="AD143" s="310"/>
      <c r="AE143" s="310"/>
      <c r="AF143" s="310"/>
      <c r="AG143" s="310"/>
      <c r="AH143" s="310"/>
      <c r="AI143" s="310"/>
    </row>
    <row r="144" spans="2:35" ht="32.1" customHeight="1">
      <c r="B144" s="615"/>
      <c r="C144" s="523">
        <v>1750</v>
      </c>
      <c r="D144" s="614">
        <f t="shared" si="9"/>
        <v>0</v>
      </c>
      <c r="E144" s="318" t="str">
        <f>VLOOKUP("[Stk]",Sprachindex!$A:$Z,Haftungsausschluß!$O$6,FALSE)</f>
        <v>[Stk]</v>
      </c>
      <c r="F144" s="318" t="str">
        <f>IF($L$14=1,Preisliste!$E$82,Preisliste!$F$82)</f>
        <v>H801602</v>
      </c>
      <c r="G144" s="988" t="str">
        <f>VLOOKUP("Rundprofil 80-90° exkl. Dichtung, gebohrt und entgratet",Sprachindex!$A:$Z,Haftungsausschluß!$O$6,FALSE)</f>
        <v>Rundprofil 80-90° exkl. Dichtung, gebohrt und entgratet</v>
      </c>
      <c r="H144" s="989"/>
      <c r="I144" s="989"/>
      <c r="J144" s="989"/>
      <c r="K144" s="989"/>
      <c r="L144" s="989"/>
      <c r="M144" s="990"/>
      <c r="N144" s="519"/>
      <c r="O144" s="518">
        <f t="shared" si="33"/>
        <v>0</v>
      </c>
      <c r="P144" s="324"/>
      <c r="Q144" s="315"/>
      <c r="R144" s="323"/>
      <c r="S144" s="310"/>
      <c r="T144" s="310"/>
      <c r="U144" s="310"/>
      <c r="V144" s="310"/>
      <c r="W144" s="310"/>
      <c r="X144" s="310"/>
      <c r="Y144" s="310"/>
      <c r="Z144" s="310"/>
      <c r="AA144" s="310"/>
      <c r="AB144" s="310"/>
      <c r="AC144" s="310"/>
      <c r="AD144" s="310"/>
      <c r="AE144" s="310"/>
      <c r="AF144" s="310"/>
      <c r="AG144" s="310"/>
      <c r="AH144" s="310"/>
      <c r="AI144" s="310"/>
    </row>
    <row r="145" spans="1:35" ht="32.1" customHeight="1">
      <c r="B145" s="615"/>
      <c r="C145" s="523">
        <v>2150</v>
      </c>
      <c r="D145" s="614">
        <f t="shared" si="9"/>
        <v>0</v>
      </c>
      <c r="E145" s="318" t="str">
        <f>VLOOKUP("[Stk]",Sprachindex!$A:$Z,Haftungsausschluß!$O$6,FALSE)</f>
        <v>[Stk]</v>
      </c>
      <c r="F145" s="318" t="str">
        <f>IF($L$14=1,Preisliste!$E$83,Preisliste!$F$83)</f>
        <v>H801603</v>
      </c>
      <c r="G145" s="988" t="str">
        <f>VLOOKUP("Rundprofil 80-90° exkl. Dichtung, gebohrt und entgratet",Sprachindex!$A:$Z,Haftungsausschluß!$O$6,FALSE)</f>
        <v>Rundprofil 80-90° exkl. Dichtung, gebohrt und entgratet</v>
      </c>
      <c r="H145" s="989"/>
      <c r="I145" s="989"/>
      <c r="J145" s="989"/>
      <c r="K145" s="989"/>
      <c r="L145" s="989"/>
      <c r="M145" s="990"/>
      <c r="N145" s="519"/>
      <c r="O145" s="518">
        <f t="shared" si="33"/>
        <v>0</v>
      </c>
      <c r="P145" s="324"/>
      <c r="Q145" s="315"/>
      <c r="R145" s="323"/>
      <c r="S145" s="310"/>
      <c r="T145" s="310"/>
      <c r="U145" s="310"/>
      <c r="V145" s="310"/>
      <c r="W145" s="310"/>
      <c r="X145" s="310"/>
      <c r="Y145" s="310"/>
      <c r="Z145" s="310"/>
      <c r="AA145" s="310"/>
      <c r="AB145" s="310"/>
      <c r="AC145" s="310"/>
      <c r="AD145" s="310"/>
      <c r="AE145" s="310"/>
      <c r="AF145" s="310"/>
      <c r="AG145" s="310"/>
      <c r="AH145" s="310"/>
      <c r="AI145" s="310"/>
    </row>
    <row r="146" spans="1:35" ht="32.1" customHeight="1">
      <c r="B146" s="615"/>
      <c r="C146" s="523">
        <v>3120</v>
      </c>
      <c r="D146" s="614">
        <f t="shared" si="9"/>
        <v>0</v>
      </c>
      <c r="E146" s="318" t="str">
        <f>VLOOKUP("[Stk]",Sprachindex!$A:$Z,Haftungsausschluß!$O$6,FALSE)</f>
        <v>[Stk]</v>
      </c>
      <c r="F146" s="318">
        <f>IF($L$14=1,Preisliste!$E$84,Preisliste!$F$84)</f>
        <v>0</v>
      </c>
      <c r="G146" s="988" t="str">
        <f>VLOOKUP("Rundprofil 80-90° Sonderlänge exkl. Dichtung, (Stangenware)",Sprachindex!$A:$Z,Haftungsausschluß!$O$6,FALSE)</f>
        <v>Rundprofil 80-90° Sonderlänge exkl. Dichtung, (Stangenware)</v>
      </c>
      <c r="H146" s="989"/>
      <c r="I146" s="989"/>
      <c r="J146" s="989"/>
      <c r="K146" s="989"/>
      <c r="L146" s="989"/>
      <c r="M146" s="990"/>
      <c r="N146" s="519"/>
      <c r="O146" s="518">
        <f>N146*D146*C146/1000</f>
        <v>0</v>
      </c>
      <c r="P146" s="324"/>
      <c r="Q146" s="315"/>
      <c r="R146" s="316"/>
      <c r="S146" s="310"/>
      <c r="T146" s="310"/>
      <c r="U146" s="310"/>
      <c r="V146" s="310"/>
      <c r="W146" s="310"/>
      <c r="X146" s="310"/>
      <c r="Y146" s="310"/>
      <c r="Z146" s="310"/>
      <c r="AA146" s="310"/>
      <c r="AB146" s="310"/>
      <c r="AC146" s="310"/>
      <c r="AD146" s="310"/>
      <c r="AE146" s="310"/>
      <c r="AF146" s="310"/>
      <c r="AG146" s="310"/>
      <c r="AH146" s="310"/>
      <c r="AI146" s="310"/>
    </row>
    <row r="147" spans="1:35" ht="32.1" customHeight="1">
      <c r="B147" s="615"/>
      <c r="C147" s="523">
        <v>750</v>
      </c>
      <c r="D147" s="614">
        <f t="shared" si="9"/>
        <v>0</v>
      </c>
      <c r="E147" s="318" t="str">
        <f>VLOOKUP("[Stk]",Sprachindex!$A:$Z,Haftungsausschluß!$O$6,FALSE)</f>
        <v>[Stk]</v>
      </c>
      <c r="F147" s="318" t="str">
        <f>IF($L$14=1,Preisliste!$E$86,Preisliste!$F$86)</f>
        <v>H501610</v>
      </c>
      <c r="G147" s="988" t="str">
        <f>VLOOKUP("Rundprofil 50-Vario exkl. Dichtung, gebohrt und entgratet",Sprachindex!$A:$Z,Haftungsausschluß!$O$6,FALSE)</f>
        <v>Rundprofil 50-Vario exkl. Dichtung, gebohrt und entgratet</v>
      </c>
      <c r="H147" s="989"/>
      <c r="I147" s="989"/>
      <c r="J147" s="989"/>
      <c r="K147" s="989"/>
      <c r="L147" s="989"/>
      <c r="M147" s="990"/>
      <c r="N147" s="519"/>
      <c r="O147" s="518">
        <f t="shared" ref="O147" si="34">N147*D147</f>
        <v>0</v>
      </c>
      <c r="P147" s="324"/>
      <c r="Q147" s="315"/>
      <c r="R147" s="323"/>
      <c r="S147" s="310"/>
      <c r="T147" s="310"/>
      <c r="U147" s="310"/>
      <c r="V147" s="310"/>
      <c r="W147" s="310"/>
      <c r="X147" s="310"/>
      <c r="Y147" s="310"/>
      <c r="Z147" s="310"/>
      <c r="AA147" s="310"/>
      <c r="AB147" s="310"/>
      <c r="AC147" s="310"/>
      <c r="AD147" s="310"/>
      <c r="AE147" s="310"/>
      <c r="AF147" s="310"/>
      <c r="AG147" s="310"/>
      <c r="AH147" s="310"/>
      <c r="AI147" s="310"/>
    </row>
    <row r="148" spans="1:35" ht="32.1" customHeight="1">
      <c r="B148" s="615"/>
      <c r="C148" s="523">
        <v>1350</v>
      </c>
      <c r="D148" s="614">
        <f t="shared" si="9"/>
        <v>0</v>
      </c>
      <c r="E148" s="318" t="str">
        <f>VLOOKUP("[Stk]",Sprachindex!$A:$Z,Haftungsausschluß!$O$6,FALSE)</f>
        <v>[Stk]</v>
      </c>
      <c r="F148" s="318" t="str">
        <f>IF($L$14=1,Preisliste!$E$87,Preisliste!$F$87)</f>
        <v>H501611</v>
      </c>
      <c r="G148" s="988" t="str">
        <f>VLOOKUP("Rundprofil 50-Vario exkl. Dichtung, gebohrt und entgratet",Sprachindex!$A:$Z,Haftungsausschluß!$O$6,FALSE)</f>
        <v>Rundprofil 50-Vario exkl. Dichtung, gebohrt und entgratet</v>
      </c>
      <c r="H148" s="989"/>
      <c r="I148" s="989"/>
      <c r="J148" s="989"/>
      <c r="K148" s="989"/>
      <c r="L148" s="989"/>
      <c r="M148" s="990"/>
      <c r="N148" s="519"/>
      <c r="O148" s="518">
        <f t="shared" ref="O148:O150" si="35">N148*D148</f>
        <v>0</v>
      </c>
      <c r="P148" s="324"/>
      <c r="Q148" s="315"/>
      <c r="R148" s="323"/>
      <c r="S148" s="310"/>
      <c r="T148" s="310"/>
      <c r="U148" s="310"/>
      <c r="V148" s="310"/>
      <c r="W148" s="310"/>
      <c r="X148" s="310"/>
      <c r="Y148" s="310"/>
      <c r="Z148" s="310"/>
      <c r="AA148" s="310"/>
      <c r="AB148" s="310"/>
      <c r="AC148" s="310"/>
      <c r="AD148" s="310"/>
      <c r="AE148" s="310"/>
      <c r="AF148" s="310"/>
      <c r="AG148" s="310"/>
      <c r="AH148" s="310"/>
      <c r="AI148" s="310"/>
    </row>
    <row r="149" spans="1:35" ht="32.1" customHeight="1">
      <c r="B149" s="615"/>
      <c r="C149" s="523">
        <v>1750</v>
      </c>
      <c r="D149" s="614">
        <f t="shared" si="9"/>
        <v>0</v>
      </c>
      <c r="E149" s="318" t="str">
        <f>VLOOKUP("[Stk]",Sprachindex!$A:$Z,Haftungsausschluß!$O$6,FALSE)</f>
        <v>[Stk]</v>
      </c>
      <c r="F149" s="318" t="str">
        <f>IF($L$14=1,Preisliste!$E$88,Preisliste!$F$88)</f>
        <v>H501612</v>
      </c>
      <c r="G149" s="988" t="str">
        <f>VLOOKUP("Rundprofil 50-Vario exkl. Dichtung, gebohrt und entgratet",Sprachindex!$A:$Z,Haftungsausschluß!$O$6,FALSE)</f>
        <v>Rundprofil 50-Vario exkl. Dichtung, gebohrt und entgratet</v>
      </c>
      <c r="H149" s="989"/>
      <c r="I149" s="989"/>
      <c r="J149" s="989"/>
      <c r="K149" s="989"/>
      <c r="L149" s="989"/>
      <c r="M149" s="990"/>
      <c r="N149" s="519"/>
      <c r="O149" s="518">
        <f t="shared" si="35"/>
        <v>0</v>
      </c>
      <c r="P149" s="324"/>
      <c r="Q149" s="315"/>
      <c r="R149" s="323"/>
      <c r="S149" s="310"/>
      <c r="T149" s="310"/>
      <c r="U149" s="310"/>
      <c r="V149" s="310"/>
      <c r="W149" s="310"/>
      <c r="X149" s="310"/>
      <c r="Y149" s="310"/>
      <c r="Z149" s="310"/>
      <c r="AA149" s="310"/>
      <c r="AB149" s="310"/>
      <c r="AC149" s="310"/>
      <c r="AD149" s="310"/>
      <c r="AE149" s="310"/>
      <c r="AF149" s="310"/>
      <c r="AG149" s="310"/>
      <c r="AH149" s="310"/>
      <c r="AI149" s="310"/>
    </row>
    <row r="150" spans="1:35" ht="32.1" customHeight="1">
      <c r="B150" s="615"/>
      <c r="C150" s="523">
        <v>2150</v>
      </c>
      <c r="D150" s="614">
        <f t="shared" si="9"/>
        <v>0</v>
      </c>
      <c r="E150" s="318" t="str">
        <f>VLOOKUP("[Stk]",Sprachindex!$A:$Z,Haftungsausschluß!$O$6,FALSE)</f>
        <v>[Stk]</v>
      </c>
      <c r="F150" s="318" t="str">
        <f>IF($L$14=1,Preisliste!$E$89,Preisliste!$F$89)</f>
        <v>H501613</v>
      </c>
      <c r="G150" s="988" t="str">
        <f>VLOOKUP("Rundprofil 50-Vario exkl. Dichtung, gebohrt und entgratet",Sprachindex!$A:$Z,Haftungsausschluß!$O$6,FALSE)</f>
        <v>Rundprofil 50-Vario exkl. Dichtung, gebohrt und entgratet</v>
      </c>
      <c r="H150" s="989"/>
      <c r="I150" s="989"/>
      <c r="J150" s="989"/>
      <c r="K150" s="989"/>
      <c r="L150" s="989"/>
      <c r="M150" s="990"/>
      <c r="N150" s="519"/>
      <c r="O150" s="518">
        <f t="shared" si="35"/>
        <v>0</v>
      </c>
      <c r="P150" s="324"/>
      <c r="Q150" s="315"/>
      <c r="R150" s="323"/>
      <c r="S150" s="310"/>
      <c r="T150" s="310"/>
      <c r="U150" s="310"/>
      <c r="V150" s="310"/>
      <c r="W150" s="310"/>
      <c r="X150" s="310"/>
      <c r="Y150" s="310"/>
      <c r="Z150" s="310"/>
      <c r="AA150" s="310"/>
      <c r="AB150" s="310"/>
      <c r="AC150" s="310"/>
      <c r="AD150" s="310"/>
      <c r="AE150" s="310"/>
      <c r="AF150" s="310"/>
      <c r="AG150" s="310"/>
      <c r="AH150" s="310"/>
      <c r="AI150" s="310"/>
    </row>
    <row r="151" spans="1:35" ht="32.1" customHeight="1">
      <c r="B151" s="615"/>
      <c r="C151" s="523">
        <v>3120</v>
      </c>
      <c r="D151" s="614">
        <f t="shared" si="9"/>
        <v>0</v>
      </c>
      <c r="E151" s="318" t="str">
        <f>VLOOKUP("[Stk]",Sprachindex!$A:$Z,Haftungsausschluß!$O$6,FALSE)</f>
        <v>[Stk]</v>
      </c>
      <c r="F151" s="318">
        <f>IF($L$14=1,Preisliste!$E$90,Preisliste!$F$90)</f>
        <v>0</v>
      </c>
      <c r="G151" s="988" t="str">
        <f>VLOOKUP("Rundprofil 50-Vario Sonderlänge exkl. Dichtung, (Stangenware)",Sprachindex!$A:$Z,Haftungsausschluß!$O$6,FALSE)</f>
        <v>Rundprofil 50-Vario Sonderlänge exkl. Dichtung, (Stangenware)</v>
      </c>
      <c r="H151" s="989"/>
      <c r="I151" s="989"/>
      <c r="J151" s="989"/>
      <c r="K151" s="989"/>
      <c r="L151" s="989"/>
      <c r="M151" s="990"/>
      <c r="N151" s="519"/>
      <c r="O151" s="518">
        <f>N151*D151*C151/1000</f>
        <v>0</v>
      </c>
      <c r="P151" s="324"/>
      <c r="Q151" s="315"/>
      <c r="R151" s="316"/>
      <c r="S151" s="310"/>
      <c r="T151" s="310"/>
      <c r="U151" s="310"/>
      <c r="V151" s="310"/>
      <c r="W151" s="310"/>
      <c r="X151" s="310"/>
      <c r="Y151" s="310"/>
      <c r="Z151" s="310"/>
      <c r="AA151" s="310"/>
      <c r="AB151" s="310"/>
      <c r="AC151" s="310"/>
      <c r="AD151" s="310"/>
      <c r="AE151" s="310"/>
      <c r="AF151" s="310"/>
      <c r="AG151" s="310"/>
      <c r="AH151" s="310"/>
      <c r="AI151" s="310"/>
    </row>
    <row r="152" spans="1:35" ht="32.1" customHeight="1">
      <c r="B152" s="615"/>
      <c r="C152" s="523">
        <v>750</v>
      </c>
      <c r="D152" s="614">
        <f t="shared" si="9"/>
        <v>0</v>
      </c>
      <c r="E152" s="318" t="str">
        <f>VLOOKUP("[Stk]",Sprachindex!$A:$Z,Haftungsausschluß!$O$6,FALSE)</f>
        <v>[Stk]</v>
      </c>
      <c r="F152" s="318" t="str">
        <f>IF($L$14=1,Preisliste!$E$92,Preisliste!$F$92)</f>
        <v>H801610</v>
      </c>
      <c r="G152" s="988" t="str">
        <f>VLOOKUP("Rundprofil 80-Vario exkl. Dichtung, gebohrt und entgratet",Sprachindex!$A:$Z,Haftungsausschluß!$O$6,FALSE)</f>
        <v>Rundprofil 80-Vario exkl. Dichtung, gebohrt und entgratet</v>
      </c>
      <c r="H152" s="989"/>
      <c r="I152" s="989"/>
      <c r="J152" s="989"/>
      <c r="K152" s="989"/>
      <c r="L152" s="989"/>
      <c r="M152" s="990"/>
      <c r="N152" s="519"/>
      <c r="O152" s="518">
        <f t="shared" ref="O152" si="36">N152*D152</f>
        <v>0</v>
      </c>
      <c r="P152" s="324"/>
      <c r="Q152" s="315"/>
      <c r="R152" s="323"/>
      <c r="S152" s="310"/>
      <c r="T152" s="310"/>
      <c r="U152" s="310"/>
      <c r="V152" s="310"/>
      <c r="W152" s="310"/>
      <c r="X152" s="310"/>
      <c r="Y152" s="310"/>
      <c r="Z152" s="310"/>
      <c r="AA152" s="310"/>
      <c r="AB152" s="310"/>
      <c r="AC152" s="310"/>
      <c r="AD152" s="310"/>
      <c r="AE152" s="310"/>
      <c r="AF152" s="310"/>
      <c r="AG152" s="310"/>
      <c r="AH152" s="310"/>
      <c r="AI152" s="310"/>
    </row>
    <row r="153" spans="1:35" ht="32.1" customHeight="1">
      <c r="B153" s="615"/>
      <c r="C153" s="523">
        <v>1350</v>
      </c>
      <c r="D153" s="614">
        <f t="shared" si="9"/>
        <v>0</v>
      </c>
      <c r="E153" s="318" t="str">
        <f>VLOOKUP("[Stk]",Sprachindex!$A:$Z,Haftungsausschluß!$O$6,FALSE)</f>
        <v>[Stk]</v>
      </c>
      <c r="F153" s="318" t="str">
        <f>IF($L$14=1,Preisliste!$E$93,Preisliste!$F$93)</f>
        <v>H801611</v>
      </c>
      <c r="G153" s="988" t="str">
        <f>VLOOKUP("Rundprofil 80-Vario exkl. Dichtung, gebohrt und entgratet",Sprachindex!$A:$Z,Haftungsausschluß!$O$6,FALSE)</f>
        <v>Rundprofil 80-Vario exkl. Dichtung, gebohrt und entgratet</v>
      </c>
      <c r="H153" s="989"/>
      <c r="I153" s="989"/>
      <c r="J153" s="989"/>
      <c r="K153" s="989"/>
      <c r="L153" s="989"/>
      <c r="M153" s="990"/>
      <c r="N153" s="519"/>
      <c r="O153" s="518">
        <f t="shared" ref="O153:O155" si="37">N153*D153</f>
        <v>0</v>
      </c>
      <c r="P153" s="324"/>
      <c r="Q153" s="315"/>
      <c r="R153" s="323"/>
      <c r="S153" s="310"/>
      <c r="T153" s="310"/>
      <c r="U153" s="310"/>
      <c r="V153" s="310"/>
      <c r="W153" s="310"/>
      <c r="X153" s="310"/>
      <c r="Y153" s="310"/>
      <c r="Z153" s="310"/>
      <c r="AA153" s="310"/>
      <c r="AB153" s="310"/>
      <c r="AC153" s="310"/>
      <c r="AD153" s="310"/>
      <c r="AE153" s="310"/>
      <c r="AF153" s="310"/>
      <c r="AG153" s="310"/>
      <c r="AH153" s="310"/>
      <c r="AI153" s="310"/>
    </row>
    <row r="154" spans="1:35" ht="32.1" customHeight="1">
      <c r="B154" s="615"/>
      <c r="C154" s="523">
        <v>1750</v>
      </c>
      <c r="D154" s="614">
        <f t="shared" si="9"/>
        <v>0</v>
      </c>
      <c r="E154" s="318" t="str">
        <f>VLOOKUP("[Stk]",Sprachindex!$A:$Z,Haftungsausschluß!$O$6,FALSE)</f>
        <v>[Stk]</v>
      </c>
      <c r="F154" s="318" t="str">
        <f>IF($L$14=1,Preisliste!$E$94,Preisliste!$F$94)</f>
        <v>H801612</v>
      </c>
      <c r="G154" s="988" t="str">
        <f>VLOOKUP("Rundprofil 80-Vario exkl. Dichtung, gebohrt und entgratet",Sprachindex!$A:$Z,Haftungsausschluß!$O$6,FALSE)</f>
        <v>Rundprofil 80-Vario exkl. Dichtung, gebohrt und entgratet</v>
      </c>
      <c r="H154" s="989"/>
      <c r="I154" s="989"/>
      <c r="J154" s="989"/>
      <c r="K154" s="989"/>
      <c r="L154" s="989"/>
      <c r="M154" s="990"/>
      <c r="N154" s="519"/>
      <c r="O154" s="518">
        <f t="shared" si="37"/>
        <v>0</v>
      </c>
      <c r="P154" s="324"/>
      <c r="Q154" s="315"/>
      <c r="R154" s="323"/>
      <c r="S154" s="310"/>
      <c r="T154" s="310"/>
      <c r="U154" s="310"/>
      <c r="V154" s="310"/>
      <c r="W154" s="310"/>
      <c r="X154" s="310"/>
      <c r="Y154" s="310"/>
      <c r="Z154" s="310"/>
      <c r="AA154" s="310"/>
      <c r="AB154" s="310"/>
      <c r="AC154" s="310"/>
      <c r="AD154" s="310"/>
      <c r="AE154" s="310"/>
      <c r="AF154" s="310"/>
      <c r="AG154" s="310"/>
      <c r="AH154" s="310"/>
      <c r="AI154" s="310"/>
    </row>
    <row r="155" spans="1:35" ht="32.1" customHeight="1">
      <c r="B155" s="615"/>
      <c r="C155" s="523">
        <v>2150</v>
      </c>
      <c r="D155" s="614">
        <f t="shared" si="9"/>
        <v>0</v>
      </c>
      <c r="E155" s="318" t="str">
        <f>VLOOKUP("[Stk]",Sprachindex!$A:$Z,Haftungsausschluß!$O$6,FALSE)</f>
        <v>[Stk]</v>
      </c>
      <c r="F155" s="318" t="str">
        <f>IF($L$14=1,Preisliste!$E$95,Preisliste!$F$95)</f>
        <v>H801613</v>
      </c>
      <c r="G155" s="988" t="str">
        <f>VLOOKUP("Rundprofil 80-Vario exkl. Dichtung, gebohrt und entgratet",Sprachindex!$A:$Z,Haftungsausschluß!$O$6,FALSE)</f>
        <v>Rundprofil 80-Vario exkl. Dichtung, gebohrt und entgratet</v>
      </c>
      <c r="H155" s="989"/>
      <c r="I155" s="989"/>
      <c r="J155" s="989"/>
      <c r="K155" s="989"/>
      <c r="L155" s="989"/>
      <c r="M155" s="990"/>
      <c r="N155" s="519"/>
      <c r="O155" s="518">
        <f t="shared" si="37"/>
        <v>0</v>
      </c>
      <c r="P155" s="324"/>
      <c r="Q155" s="315"/>
      <c r="R155" s="323"/>
      <c r="S155" s="310"/>
      <c r="T155" s="310"/>
      <c r="U155" s="310"/>
      <c r="V155" s="310"/>
      <c r="W155" s="310"/>
      <c r="X155" s="310"/>
      <c r="Y155" s="310"/>
      <c r="Z155" s="310"/>
      <c r="AA155" s="310"/>
      <c r="AB155" s="310"/>
      <c r="AC155" s="310"/>
      <c r="AD155" s="310"/>
      <c r="AE155" s="310"/>
      <c r="AF155" s="310"/>
      <c r="AG155" s="310"/>
      <c r="AH155" s="310"/>
      <c r="AI155" s="310"/>
    </row>
    <row r="156" spans="1:35" ht="32.1" customHeight="1">
      <c r="B156" s="615"/>
      <c r="C156" s="523">
        <v>3120</v>
      </c>
      <c r="D156" s="614">
        <f t="shared" si="9"/>
        <v>0</v>
      </c>
      <c r="E156" s="318" t="str">
        <f>VLOOKUP("[Stk]",Sprachindex!$A:$Z,Haftungsausschluß!$O$6,FALSE)</f>
        <v>[Stk]</v>
      </c>
      <c r="F156" s="318">
        <f>IF($L$14=1,Preisliste!$E$96,Preisliste!$F$96)</f>
        <v>0</v>
      </c>
      <c r="G156" s="988" t="str">
        <f>VLOOKUP("Rundprofil 80-Vario Sonderlänge exkl. Dichtung, (Stangenware)",Sprachindex!$A:$Z,Haftungsausschluß!$O$6,FALSE)</f>
        <v>Rundprofil 80-Vario Sonderlänge exkl. Dichtung, (Stangenware)</v>
      </c>
      <c r="H156" s="989"/>
      <c r="I156" s="989"/>
      <c r="J156" s="989"/>
      <c r="K156" s="989"/>
      <c r="L156" s="989"/>
      <c r="M156" s="990"/>
      <c r="N156" s="519"/>
      <c r="O156" s="518">
        <f>N156*D156*C156/1000</f>
        <v>0</v>
      </c>
      <c r="P156" s="324"/>
      <c r="Q156" s="315"/>
      <c r="R156" s="316"/>
      <c r="S156" s="310"/>
      <c r="T156" s="310"/>
      <c r="U156" s="310"/>
      <c r="V156" s="310"/>
      <c r="W156" s="310"/>
      <c r="X156" s="310"/>
      <c r="Y156" s="310"/>
      <c r="Z156" s="310"/>
      <c r="AA156" s="310"/>
      <c r="AB156" s="310"/>
      <c r="AC156" s="310"/>
      <c r="AD156" s="310"/>
      <c r="AE156" s="310"/>
      <c r="AF156" s="310"/>
      <c r="AG156" s="310"/>
      <c r="AH156" s="310"/>
      <c r="AI156" s="310"/>
    </row>
    <row r="157" spans="1:35" s="533" customFormat="1" ht="32.1" customHeight="1">
      <c r="A157" s="288"/>
      <c r="B157" s="615"/>
      <c r="C157" s="523"/>
      <c r="D157" s="614">
        <f>B157</f>
        <v>0</v>
      </c>
      <c r="E157" s="318" t="str">
        <f>VLOOKUP("[Stk]",Sprachindex!$A:$Z,Haftungsausschluß!$O$6,FALSE)</f>
        <v>[Stk]</v>
      </c>
      <c r="F157" s="318" t="str">
        <f>IF($L$14=1,Preisliste!$E$98,Preisliste!$F$98)</f>
        <v>H001030</v>
      </c>
      <c r="G157" s="988" t="str">
        <f>VLOOKUP("Bodenhülse 50/80 beschichtet inkl. Aluminiumdeckel und Dichtung",Sprachindex!$A:$Z,Haftungsausschluß!$O$6,FALSE)</f>
        <v>Bodenhülse 50/80 beschichtet inkl. Aluminiumdeckel und Dichtung</v>
      </c>
      <c r="H157" s="989"/>
      <c r="I157" s="989"/>
      <c r="J157" s="989"/>
      <c r="K157" s="989"/>
      <c r="L157" s="989"/>
      <c r="M157" s="990"/>
      <c r="N157" s="552"/>
      <c r="O157" s="550">
        <f t="shared" ref="O157" si="38">N157*D157</f>
        <v>0</v>
      </c>
      <c r="P157" s="324"/>
      <c r="Q157" s="525"/>
      <c r="R157" s="526"/>
      <c r="S157" s="321"/>
      <c r="T157" s="321"/>
      <c r="U157" s="321"/>
      <c r="V157" s="321"/>
      <c r="W157" s="321"/>
      <c r="X157" s="321"/>
      <c r="Y157" s="321"/>
      <c r="Z157" s="321"/>
      <c r="AA157" s="321"/>
      <c r="AB157" s="321"/>
      <c r="AC157" s="321"/>
      <c r="AD157" s="321"/>
      <c r="AE157" s="321"/>
      <c r="AF157" s="321"/>
      <c r="AG157" s="321"/>
      <c r="AH157" s="321"/>
      <c r="AI157" s="321"/>
    </row>
    <row r="158" spans="1:35" ht="32.1" customHeight="1">
      <c r="B158" s="615"/>
      <c r="C158" s="523"/>
      <c r="D158" s="614">
        <f t="shared" ref="D158:D167" si="39">B158</f>
        <v>0</v>
      </c>
      <c r="E158" s="318" t="str">
        <f>VLOOKUP("[Stk]",Sprachindex!$A:$Z,Haftungsausschluß!$O$6,FALSE)</f>
        <v>[Stk]</v>
      </c>
      <c r="F158" s="318" t="str">
        <f>IF($L$14=1,Preisliste!$E$99,Preisliste!$F$99)</f>
        <v>H001040</v>
      </c>
      <c r="G158" s="988" t="str">
        <f>VLOOKUP("Bodenhülse 50/80 beschichtet inkl. Edelstahldeckel und Dichtung",Sprachindex!$A:$Z,Haftungsausschluß!$O$6,FALSE)</f>
        <v>Bodenhülse 50/80 beschichtet inkl. Edelstahldeckel und Dichtung</v>
      </c>
      <c r="H158" s="989"/>
      <c r="I158" s="989"/>
      <c r="J158" s="989"/>
      <c r="K158" s="989"/>
      <c r="L158" s="989"/>
      <c r="M158" s="990"/>
      <c r="N158" s="519"/>
      <c r="O158" s="518">
        <f t="shared" ref="O158" si="40">N158*D158</f>
        <v>0</v>
      </c>
      <c r="P158" s="324"/>
      <c r="Q158" s="315"/>
      <c r="R158" s="323"/>
      <c r="S158" s="310"/>
      <c r="T158" s="310"/>
      <c r="U158" s="310"/>
      <c r="V158" s="310"/>
      <c r="W158" s="310"/>
      <c r="X158" s="310"/>
      <c r="Y158" s="310"/>
      <c r="Z158" s="310"/>
      <c r="AA158" s="310"/>
      <c r="AB158" s="310"/>
      <c r="AC158" s="310"/>
      <c r="AD158" s="310"/>
      <c r="AE158" s="310"/>
      <c r="AF158" s="310"/>
      <c r="AG158" s="310"/>
      <c r="AH158" s="310"/>
      <c r="AI158" s="310"/>
    </row>
    <row r="159" spans="1:35" ht="32.1" customHeight="1">
      <c r="B159" s="615"/>
      <c r="C159" s="523"/>
      <c r="D159" s="614">
        <f t="shared" si="39"/>
        <v>0</v>
      </c>
      <c r="E159" s="318" t="str">
        <f>VLOOKUP("[Stk]",Sprachindex!$A:$Z,Haftungsausschluß!$O$6,FALSE)</f>
        <v>[Stk]</v>
      </c>
      <c r="F159" s="318" t="str">
        <f>IF($L$14=1,Preisliste!$E$101,Preisliste!$F$101)</f>
        <v>H001031</v>
      </c>
      <c r="G159" s="988" t="str">
        <f>VLOOKUP("Bodenhülse (GROSS) 50 Vario und 80 beschichtet inkl. Aluminiumdeckel und Dichtung",Sprachindex!$A:$Z,Haftungsausschluß!$O$6,FALSE)</f>
        <v>Bodenhülse (GROSS) 50 Vario und 80 beschichtet inkl. Aluminiumdeckel und Dichtung</v>
      </c>
      <c r="H159" s="989"/>
      <c r="I159" s="989"/>
      <c r="J159" s="989"/>
      <c r="K159" s="989"/>
      <c r="L159" s="989"/>
      <c r="M159" s="990"/>
      <c r="N159" s="519"/>
      <c r="O159" s="518">
        <f t="shared" ref="O159:O163" si="41">N159*D159</f>
        <v>0</v>
      </c>
      <c r="P159" s="324"/>
      <c r="Q159" s="315"/>
      <c r="R159" s="323"/>
      <c r="S159" s="310"/>
      <c r="T159" s="310"/>
      <c r="U159" s="310"/>
      <c r="V159" s="310"/>
      <c r="W159" s="310"/>
      <c r="X159" s="310"/>
      <c r="Y159" s="310"/>
      <c r="Z159" s="310"/>
      <c r="AA159" s="310"/>
      <c r="AB159" s="310"/>
      <c r="AC159" s="310"/>
      <c r="AD159" s="310"/>
      <c r="AE159" s="310"/>
      <c r="AF159" s="310"/>
      <c r="AG159" s="310"/>
      <c r="AH159" s="310"/>
      <c r="AI159" s="310"/>
    </row>
    <row r="160" spans="1:35" ht="32.1" customHeight="1">
      <c r="B160" s="615"/>
      <c r="C160" s="523"/>
      <c r="D160" s="614">
        <f t="shared" si="39"/>
        <v>0</v>
      </c>
      <c r="E160" s="318" t="str">
        <f>VLOOKUP("[Stk]",Sprachindex!$A:$Z,Haftungsausschluß!$O$6,FALSE)</f>
        <v>[Stk]</v>
      </c>
      <c r="F160" s="318" t="str">
        <f>IF($L$14=1,Preisliste!$E$102,Preisliste!$F$102)</f>
        <v>H001041</v>
      </c>
      <c r="G160" s="988" t="str">
        <f>VLOOKUP("Bodenhülse (GROSS) 50 Vario und 80 beschichtet inkl. Edelstahldeckel und Dichtung",Sprachindex!$A:$Z,Haftungsausschluß!$O$6,FALSE)</f>
        <v>Bodenhülse (GROSS) 50 Vario und 80 beschichtet inkl. Edelstahldeckel und Dichtung</v>
      </c>
      <c r="H160" s="989"/>
      <c r="I160" s="989"/>
      <c r="J160" s="989"/>
      <c r="K160" s="989"/>
      <c r="L160" s="989"/>
      <c r="M160" s="990"/>
      <c r="N160" s="519"/>
      <c r="O160" s="518">
        <f t="shared" si="41"/>
        <v>0</v>
      </c>
      <c r="P160" s="324"/>
      <c r="Q160" s="315"/>
      <c r="R160" s="323"/>
      <c r="S160" s="310"/>
      <c r="T160" s="310"/>
      <c r="U160" s="310"/>
      <c r="V160" s="310"/>
      <c r="W160" s="310"/>
      <c r="X160" s="310"/>
      <c r="Y160" s="310"/>
      <c r="Z160" s="310"/>
      <c r="AA160" s="310"/>
      <c r="AB160" s="310"/>
      <c r="AC160" s="310"/>
      <c r="AD160" s="310"/>
      <c r="AE160" s="310"/>
      <c r="AF160" s="310"/>
      <c r="AG160" s="310"/>
      <c r="AH160" s="310"/>
      <c r="AI160" s="310"/>
    </row>
    <row r="161" spans="1:35" ht="32.1" customHeight="1">
      <c r="B161" s="615"/>
      <c r="C161" s="523">
        <v>750</v>
      </c>
      <c r="D161" s="614">
        <f t="shared" si="39"/>
        <v>0</v>
      </c>
      <c r="E161" s="318" t="str">
        <f>VLOOKUP("[Stk]",Sprachindex!$A:$Z,Haftungsausschluß!$O$6,FALSE)</f>
        <v>[Stk]</v>
      </c>
      <c r="F161" s="318" t="str">
        <f>IF($L$14=1,Preisliste!$E$104,Preisliste!$F$104)</f>
        <v>H501031</v>
      </c>
      <c r="G161" s="988" t="str">
        <f>VLOOKUP("Niederhalter inkl. Spannstück, Verbundanker und Gewindestange",Sprachindex!$A:$Z,Haftungsausschluß!$O$6,FALSE)</f>
        <v>Niederhalter inkl. Spannstück, Verbundanker und Gewindestange</v>
      </c>
      <c r="H161" s="989"/>
      <c r="I161" s="989"/>
      <c r="J161" s="989"/>
      <c r="K161" s="989"/>
      <c r="L161" s="989"/>
      <c r="M161" s="990"/>
      <c r="N161" s="519"/>
      <c r="O161" s="518">
        <f t="shared" si="41"/>
        <v>0</v>
      </c>
      <c r="P161" s="324"/>
      <c r="Q161" s="315"/>
      <c r="R161" s="323"/>
      <c r="S161" s="310"/>
      <c r="T161" s="310"/>
      <c r="U161" s="310"/>
      <c r="V161" s="310"/>
      <c r="W161" s="310"/>
      <c r="X161" s="310"/>
      <c r="Y161" s="310"/>
      <c r="Z161" s="310"/>
      <c r="AA161" s="310"/>
      <c r="AB161" s="310"/>
      <c r="AC161" s="310"/>
      <c r="AD161" s="310"/>
      <c r="AE161" s="310"/>
      <c r="AF161" s="310"/>
      <c r="AG161" s="310"/>
      <c r="AH161" s="310"/>
      <c r="AI161" s="310"/>
    </row>
    <row r="162" spans="1:35" ht="32.1" customHeight="1">
      <c r="B162" s="615"/>
      <c r="C162" s="523">
        <v>1350</v>
      </c>
      <c r="D162" s="614">
        <f t="shared" si="39"/>
        <v>0</v>
      </c>
      <c r="E162" s="318" t="str">
        <f>VLOOKUP("[Stk]",Sprachindex!$A:$Z,Haftungsausschluß!$O$6,FALSE)</f>
        <v>[Stk]</v>
      </c>
      <c r="F162" s="318" t="str">
        <f>IF($L$14=1,Preisliste!$E$105,Preisliste!$F$105)</f>
        <v>H501041</v>
      </c>
      <c r="G162" s="988" t="str">
        <f>VLOOKUP("Niederhalter inkl. Spannstück, Verbundanker und Gewindestange",Sprachindex!$A:$Z,Haftungsausschluß!$O$6,FALSE)</f>
        <v>Niederhalter inkl. Spannstück, Verbundanker und Gewindestange</v>
      </c>
      <c r="H162" s="989"/>
      <c r="I162" s="989"/>
      <c r="J162" s="989"/>
      <c r="K162" s="989"/>
      <c r="L162" s="989"/>
      <c r="M162" s="990"/>
      <c r="N162" s="519"/>
      <c r="O162" s="518">
        <f t="shared" si="41"/>
        <v>0</v>
      </c>
      <c r="P162" s="324"/>
      <c r="Q162" s="315"/>
      <c r="R162" s="323"/>
      <c r="S162" s="310"/>
      <c r="T162" s="310"/>
      <c r="U162" s="310"/>
      <c r="V162" s="310"/>
      <c r="W162" s="310"/>
      <c r="X162" s="310"/>
      <c r="Y162" s="310"/>
      <c r="Z162" s="310"/>
      <c r="AA162" s="310"/>
      <c r="AB162" s="310"/>
      <c r="AC162" s="310"/>
      <c r="AD162" s="310"/>
      <c r="AE162" s="310"/>
      <c r="AF162" s="310"/>
      <c r="AG162" s="310"/>
      <c r="AH162" s="310"/>
      <c r="AI162" s="310"/>
    </row>
    <row r="163" spans="1:35" ht="32.1" customHeight="1">
      <c r="B163" s="615"/>
      <c r="C163" s="523">
        <v>1750</v>
      </c>
      <c r="D163" s="614">
        <f t="shared" si="39"/>
        <v>0</v>
      </c>
      <c r="E163" s="318" t="str">
        <f>VLOOKUP("[Stk]",Sprachindex!$A:$Z,Haftungsausschluß!$O$6,FALSE)</f>
        <v>[Stk]</v>
      </c>
      <c r="F163" s="318" t="str">
        <f>IF($L$14=1,Preisliste!$E$106,Preisliste!$F$106)</f>
        <v>H501042</v>
      </c>
      <c r="G163" s="988" t="str">
        <f>VLOOKUP("Niederhalter inkl. Spannstück, Verbundanker und Gewindestange",Sprachindex!$A:$Z,Haftungsausschluß!$O$6,FALSE)</f>
        <v>Niederhalter inkl. Spannstück, Verbundanker und Gewindestange</v>
      </c>
      <c r="H163" s="989"/>
      <c r="I163" s="989"/>
      <c r="J163" s="989"/>
      <c r="K163" s="989"/>
      <c r="L163" s="989"/>
      <c r="M163" s="990"/>
      <c r="N163" s="519"/>
      <c r="O163" s="518">
        <f t="shared" si="41"/>
        <v>0</v>
      </c>
      <c r="P163" s="324"/>
      <c r="Q163" s="315"/>
      <c r="R163" s="323"/>
      <c r="S163" s="310"/>
      <c r="T163" s="310"/>
      <c r="U163" s="310"/>
      <c r="V163" s="310"/>
      <c r="W163" s="310"/>
      <c r="X163" s="310"/>
      <c r="Y163" s="310"/>
      <c r="Z163" s="310"/>
      <c r="AA163" s="310"/>
      <c r="AB163" s="310"/>
      <c r="AC163" s="310"/>
      <c r="AD163" s="310"/>
      <c r="AE163" s="310"/>
      <c r="AF163" s="310"/>
      <c r="AG163" s="310"/>
      <c r="AH163" s="310"/>
      <c r="AI163" s="310"/>
    </row>
    <row r="164" spans="1:35" ht="32.1" customHeight="1">
      <c r="B164" s="615"/>
      <c r="C164" s="523"/>
      <c r="D164" s="614">
        <f t="shared" si="39"/>
        <v>0</v>
      </c>
      <c r="E164" s="318" t="str">
        <f>VLOOKUP("[Stk]",Sprachindex!$A:$Z,Haftungsausschluß!$O$6,FALSE)</f>
        <v>[Stk]</v>
      </c>
      <c r="F164" s="318" t="str">
        <f>IF($L$14=1,Preisliste!$E$109,Preisliste!$F$109)</f>
        <v>H001071</v>
      </c>
      <c r="G164" s="988" t="str">
        <f>VLOOKUP("Spannstück mit Sterngriff",Sprachindex!$A:$Z,Haftungsausschluß!$O$6,FALSE)</f>
        <v>Spannstück mit Sterngriff</v>
      </c>
      <c r="H164" s="989"/>
      <c r="I164" s="989"/>
      <c r="J164" s="989"/>
      <c r="K164" s="989"/>
      <c r="L164" s="989"/>
      <c r="M164" s="990"/>
      <c r="N164" s="519">
        <v>65.63</v>
      </c>
      <c r="O164" s="518">
        <f t="shared" ref="O164" si="42">N164*D164</f>
        <v>0</v>
      </c>
      <c r="P164" s="681"/>
      <c r="Q164" s="315"/>
      <c r="R164" s="323"/>
      <c r="S164" s="310"/>
      <c r="T164" s="310"/>
      <c r="U164" s="310"/>
      <c r="V164" s="310"/>
      <c r="W164" s="310"/>
      <c r="X164" s="310"/>
      <c r="Y164" s="310"/>
      <c r="Z164" s="310"/>
      <c r="AA164" s="310"/>
      <c r="AB164" s="310"/>
      <c r="AC164" s="310"/>
      <c r="AD164" s="310"/>
      <c r="AE164" s="310"/>
      <c r="AF164" s="310"/>
      <c r="AG164" s="310"/>
      <c r="AH164" s="310"/>
      <c r="AI164" s="310"/>
    </row>
    <row r="165" spans="1:35" ht="32.1" customHeight="1">
      <c r="B165" s="615"/>
      <c r="C165" s="523"/>
      <c r="D165" s="614">
        <f t="shared" si="39"/>
        <v>0</v>
      </c>
      <c r="E165" s="318" t="str">
        <f>VLOOKUP("[Stk]",Sprachindex!$A:$Z,Haftungsausschluß!$O$6,FALSE)</f>
        <v>[Stk]</v>
      </c>
      <c r="F165" s="318" t="str">
        <f>IF($L$14=1,Preisliste!$E$110,Preisliste!$F$110)</f>
        <v>H001061</v>
      </c>
      <c r="G165" s="988" t="str">
        <f>VLOOKUP("Spannstück mit 6-Kantschraube",Sprachindex!$A:$Z,Haftungsausschluß!$O$6,FALSE)</f>
        <v>Spannstück mit 6-Kantschraube</v>
      </c>
      <c r="H165" s="989"/>
      <c r="I165" s="989"/>
      <c r="J165" s="989"/>
      <c r="K165" s="989"/>
      <c r="L165" s="989"/>
      <c r="M165" s="990"/>
      <c r="N165" s="519"/>
      <c r="O165" s="518">
        <f t="shared" ref="O165" si="43">N165*D165</f>
        <v>0</v>
      </c>
      <c r="P165" s="324"/>
      <c r="Q165" s="315"/>
      <c r="R165" s="323"/>
      <c r="S165" s="310"/>
      <c r="T165" s="310"/>
      <c r="U165" s="310"/>
      <c r="V165" s="310"/>
      <c r="W165" s="310"/>
      <c r="X165" s="310"/>
      <c r="Y165" s="310"/>
      <c r="Z165" s="310"/>
      <c r="AA165" s="310"/>
      <c r="AB165" s="310"/>
      <c r="AC165" s="310"/>
      <c r="AD165" s="310"/>
      <c r="AE165" s="310"/>
      <c r="AF165" s="310"/>
      <c r="AG165" s="310"/>
      <c r="AH165" s="310"/>
      <c r="AI165" s="310"/>
    </row>
    <row r="166" spans="1:35" ht="32.1" customHeight="1">
      <c r="B166" s="524"/>
      <c r="C166" s="523"/>
      <c r="D166" s="523">
        <f t="shared" si="39"/>
        <v>0</v>
      </c>
      <c r="E166" s="318" t="str">
        <f>VLOOKUP("[lfm]",Sprachindex!$A:$Z,Haftungsausschluß!$O$6,FALSE)</f>
        <v>[lfm]</v>
      </c>
      <c r="F166" s="318" t="str">
        <f>IF($L$14=1,Preisliste!$E$114,Preisliste!$F$114)</f>
        <v>H251900</v>
      </c>
      <c r="G166" s="988" t="str">
        <f>VLOOKUP("Bodendichtung 25",Sprachindex!$A:$Z,Haftungsausschluß!$O$6,FALSE)</f>
        <v>Bodendichtung 25</v>
      </c>
      <c r="H166" s="989"/>
      <c r="I166" s="989"/>
      <c r="J166" s="989"/>
      <c r="K166" s="989"/>
      <c r="L166" s="989"/>
      <c r="M166" s="990"/>
      <c r="N166" s="519"/>
      <c r="O166" s="518">
        <f t="shared" ref="O166" si="44">N166*D166</f>
        <v>0</v>
      </c>
      <c r="P166" s="681"/>
      <c r="Q166" s="414"/>
      <c r="R166" s="323"/>
      <c r="S166" s="326"/>
      <c r="T166" s="310"/>
      <c r="U166" s="326"/>
      <c r="V166" s="310"/>
      <c r="W166" s="326"/>
      <c r="X166" s="310"/>
      <c r="Y166" s="326"/>
      <c r="Z166" s="310"/>
      <c r="AA166" s="310"/>
      <c r="AB166" s="326"/>
      <c r="AC166" s="310"/>
      <c r="AD166" s="326"/>
      <c r="AE166" s="310"/>
      <c r="AF166" s="310"/>
      <c r="AG166" s="326"/>
      <c r="AH166" s="310"/>
      <c r="AI166" s="326"/>
    </row>
    <row r="167" spans="1:35" s="533" customFormat="1" ht="32.1" customHeight="1">
      <c r="A167" s="288"/>
      <c r="B167" s="524"/>
      <c r="C167" s="523"/>
      <c r="D167" s="523">
        <f t="shared" si="39"/>
        <v>0</v>
      </c>
      <c r="E167" s="318" t="str">
        <f>VLOOKUP("[lfm]",Sprachindex!$A:$Z,Haftungsausschluß!$O$6,FALSE)</f>
        <v>[lfm]</v>
      </c>
      <c r="F167" s="318" t="str">
        <f>IF($L$14=1,Preisliste!$E$115,Preisliste!$F$115)</f>
        <v>H501901</v>
      </c>
      <c r="G167" s="988" t="str">
        <f>VLOOKUP("Bodendichtung 50",Sprachindex!$A:$Z,Haftungsausschluß!$O$6,FALSE)</f>
        <v>Bodendichtung 50</v>
      </c>
      <c r="H167" s="989"/>
      <c r="I167" s="989"/>
      <c r="J167" s="989"/>
      <c r="K167" s="989"/>
      <c r="L167" s="989"/>
      <c r="M167" s="990"/>
      <c r="N167" s="519">
        <v>18.600000000000001</v>
      </c>
      <c r="O167" s="518">
        <f t="shared" ref="O167:O174" si="45">N167*D167</f>
        <v>0</v>
      </c>
      <c r="P167" s="324"/>
      <c r="Q167" s="527">
        <v>1086</v>
      </c>
      <c r="R167" s="526"/>
      <c r="S167" s="543"/>
      <c r="T167" s="321"/>
      <c r="U167" s="543"/>
      <c r="V167" s="321"/>
      <c r="W167" s="543"/>
      <c r="X167" s="321"/>
      <c r="Y167" s="543"/>
      <c r="Z167" s="321"/>
      <c r="AA167" s="321"/>
      <c r="AB167" s="543"/>
      <c r="AC167" s="321"/>
      <c r="AD167" s="543"/>
      <c r="AE167" s="321"/>
      <c r="AF167" s="321"/>
      <c r="AG167" s="543"/>
      <c r="AH167" s="321"/>
      <c r="AI167" s="543"/>
    </row>
    <row r="168" spans="1:35" s="533" customFormat="1" ht="32.1" customHeight="1">
      <c r="A168" s="288"/>
      <c r="B168" s="524"/>
      <c r="C168" s="523"/>
      <c r="D168" s="523">
        <f t="shared" ref="D168:D206" si="46">B168</f>
        <v>0</v>
      </c>
      <c r="E168" s="318" t="str">
        <f>VLOOKUP("[lfm]",Sprachindex!$A:$Z,Haftungsausschluß!$O$6,FALSE)</f>
        <v>[lfm]</v>
      </c>
      <c r="F168" s="318" t="str">
        <f>IF($L$14=1,Preisliste!$E$116,Preisliste!$F$116)</f>
        <v>H801901</v>
      </c>
      <c r="G168" s="988" t="str">
        <f>VLOOKUP("Bodendichtung 80",Sprachindex!$A:$Z,Haftungsausschluß!$O$6,FALSE)</f>
        <v>Bodendichtung 80</v>
      </c>
      <c r="H168" s="989"/>
      <c r="I168" s="989"/>
      <c r="J168" s="989"/>
      <c r="K168" s="989"/>
      <c r="L168" s="989"/>
      <c r="M168" s="990"/>
      <c r="N168" s="552"/>
      <c r="O168" s="550">
        <f t="shared" si="45"/>
        <v>0</v>
      </c>
      <c r="P168" s="324"/>
      <c r="Q168" s="528"/>
      <c r="R168" s="526"/>
      <c r="S168" s="543"/>
      <c r="T168" s="321"/>
      <c r="U168" s="543"/>
      <c r="V168" s="321"/>
      <c r="W168" s="543"/>
      <c r="X168" s="321"/>
      <c r="Y168" s="543"/>
      <c r="Z168" s="321"/>
      <c r="AA168" s="321"/>
      <c r="AB168" s="543"/>
      <c r="AC168" s="321"/>
      <c r="AD168" s="543"/>
      <c r="AE168" s="321"/>
      <c r="AF168" s="321"/>
      <c r="AG168" s="543"/>
      <c r="AH168" s="321"/>
      <c r="AI168" s="543"/>
    </row>
    <row r="169" spans="1:35" s="533" customFormat="1" ht="32.1" customHeight="1">
      <c r="A169" s="288"/>
      <c r="B169" s="524"/>
      <c r="C169" s="523"/>
      <c r="D169" s="523">
        <f t="shared" si="46"/>
        <v>0</v>
      </c>
      <c r="E169" s="318" t="str">
        <f>VLOOKUP("[VPE]",Sprachindex!$A:$Z,Haftungsausschluß!$O$6,FALSE)</f>
        <v>[VPE]</v>
      </c>
      <c r="F169" s="318" t="str">
        <f>IF($L$14=1,Preisliste!$E$117,Preisliste!$F$117)</f>
        <v>H001080</v>
      </c>
      <c r="G169" s="988" t="str">
        <f>VLOOKUP("Dammbalkendichtung (50+80)",Sprachindex!$A:$Z,Haftungsausschluß!$O$6,FALSE)</f>
        <v>Dammbalkendichtung (50+80)</v>
      </c>
      <c r="H169" s="989"/>
      <c r="I169" s="989"/>
      <c r="J169" s="989"/>
      <c r="K169" s="989"/>
      <c r="L169" s="989"/>
      <c r="M169" s="990"/>
      <c r="N169" s="552">
        <v>45.86</v>
      </c>
      <c r="O169" s="550">
        <f t="shared" si="45"/>
        <v>0</v>
      </c>
      <c r="P169" s="324"/>
      <c r="Q169" s="529">
        <v>10.86</v>
      </c>
      <c r="R169" s="526"/>
      <c r="S169" s="321"/>
      <c r="T169" s="321"/>
      <c r="U169" s="321"/>
      <c r="V169" s="321"/>
      <c r="W169" s="321"/>
      <c r="X169" s="321"/>
      <c r="Y169" s="321"/>
      <c r="Z169" s="321"/>
      <c r="AA169" s="321"/>
      <c r="AB169" s="321"/>
      <c r="AC169" s="321"/>
      <c r="AD169" s="321"/>
      <c r="AE169" s="321"/>
      <c r="AF169" s="321"/>
      <c r="AG169" s="321"/>
      <c r="AH169" s="321"/>
      <c r="AI169" s="321"/>
    </row>
    <row r="170" spans="1:35" ht="32.1" customHeight="1">
      <c r="B170" s="524"/>
      <c r="C170" s="523"/>
      <c r="D170" s="523">
        <f t="shared" si="46"/>
        <v>0</v>
      </c>
      <c r="E170" s="318" t="str">
        <f>VLOOKUP("[VPE]",Sprachindex!$A:$Z,Haftungsausschluß!$O$6,FALSE)</f>
        <v>[VPE]</v>
      </c>
      <c r="F170" s="318" t="str">
        <f>IF($L$14=1,Preisliste!$E$118,Preisliste!$F$118)</f>
        <v>H251901</v>
      </c>
      <c r="G170" s="988" t="str">
        <f>VLOOKUP("Dammbalkendichtung (25)",Sprachindex!$A:$Z,Haftungsausschluß!$O$6,FALSE)</f>
        <v>Dammbalkendichtung (25)</v>
      </c>
      <c r="H170" s="989"/>
      <c r="I170" s="989"/>
      <c r="J170" s="989"/>
      <c r="K170" s="989"/>
      <c r="L170" s="989"/>
      <c r="M170" s="990"/>
      <c r="N170" s="519"/>
      <c r="O170" s="518">
        <f t="shared" si="45"/>
        <v>0</v>
      </c>
      <c r="P170" s="681"/>
      <c r="Q170" s="415"/>
      <c r="R170" s="323"/>
      <c r="S170" s="310"/>
      <c r="T170" s="310"/>
      <c r="U170" s="310"/>
      <c r="V170" s="310"/>
      <c r="W170" s="310"/>
      <c r="X170" s="310"/>
      <c r="Y170" s="310"/>
      <c r="Z170" s="310"/>
      <c r="AA170" s="310"/>
      <c r="AB170" s="310"/>
      <c r="AC170" s="310"/>
      <c r="AD170" s="310"/>
      <c r="AE170" s="310"/>
      <c r="AF170" s="310"/>
      <c r="AG170" s="310"/>
      <c r="AH170" s="310"/>
      <c r="AI170" s="310"/>
    </row>
    <row r="171" spans="1:35" s="533" customFormat="1" ht="32.1" customHeight="1">
      <c r="A171" s="288"/>
      <c r="B171" s="524"/>
      <c r="C171" s="523"/>
      <c r="D171" s="523">
        <f t="shared" si="46"/>
        <v>0</v>
      </c>
      <c r="E171" s="318" t="str">
        <f>VLOOKUP("[VPE]",Sprachindex!$A:$Z,Haftungsausschluß!$O$6,FALSE)</f>
        <v>[VPE]</v>
      </c>
      <c r="F171" s="318" t="str">
        <f>IF($L$14=1,Preisliste!$E$119,Preisliste!$F$119)</f>
        <v>H001090</v>
      </c>
      <c r="G171" s="988" t="str">
        <f>VLOOKUP("Grundprofildichtung",Sprachindex!$A:$Z,Haftungsausschluß!$O$6,FALSE)</f>
        <v>Grundprofildichtung</v>
      </c>
      <c r="H171" s="989"/>
      <c r="I171" s="989"/>
      <c r="J171" s="989"/>
      <c r="K171" s="989"/>
      <c r="L171" s="989"/>
      <c r="M171" s="990"/>
      <c r="N171" s="552">
        <v>41.93</v>
      </c>
      <c r="O171" s="550">
        <f t="shared" si="45"/>
        <v>0</v>
      </c>
      <c r="P171" s="681"/>
      <c r="Q171" s="529">
        <v>5400</v>
      </c>
      <c r="R171" s="526"/>
      <c r="S171" s="321"/>
      <c r="T171" s="321"/>
      <c r="U171" s="321"/>
      <c r="V171" s="321"/>
      <c r="W171" s="321"/>
      <c r="X171" s="321"/>
      <c r="Y171" s="321"/>
      <c r="Z171" s="321"/>
      <c r="AA171" s="321"/>
      <c r="AB171" s="321"/>
      <c r="AC171" s="321"/>
      <c r="AD171" s="321"/>
      <c r="AE171" s="321"/>
      <c r="AF171" s="321"/>
      <c r="AG171" s="321"/>
      <c r="AH171" s="321"/>
      <c r="AI171" s="321"/>
    </row>
    <row r="172" spans="1:35" ht="32.1" customHeight="1">
      <c r="B172" s="524"/>
      <c r="C172" s="523"/>
      <c r="D172" s="523">
        <f t="shared" si="46"/>
        <v>0</v>
      </c>
      <c r="E172" s="318" t="str">
        <f>VLOOKUP("[lfm]",Sprachindex!$A:$Z,Haftungsausschluß!$O$6,FALSE)</f>
        <v>[lfm]</v>
      </c>
      <c r="F172" s="318" t="str">
        <f>IF($L$14=1,Preisliste!$E$120,Preisliste!$F$120)</f>
        <v>H001081</v>
      </c>
      <c r="G172" s="988" t="str">
        <f>VLOOKUP("Dauerbodendichtung 50",Sprachindex!$A:$Z,Haftungsausschluß!$O$6,FALSE)</f>
        <v>Dauerbodendichtung 50</v>
      </c>
      <c r="H172" s="989"/>
      <c r="I172" s="989"/>
      <c r="J172" s="989"/>
      <c r="K172" s="989"/>
      <c r="L172" s="989"/>
      <c r="M172" s="990"/>
      <c r="N172" s="519"/>
      <c r="O172" s="518">
        <f t="shared" si="45"/>
        <v>0</v>
      </c>
      <c r="P172" s="324"/>
      <c r="Q172" s="415"/>
      <c r="R172" s="323"/>
      <c r="S172" s="310"/>
      <c r="T172" s="310"/>
      <c r="U172" s="310"/>
      <c r="V172" s="310"/>
      <c r="W172" s="310"/>
      <c r="X172" s="310"/>
      <c r="Y172" s="310"/>
      <c r="Z172" s="310"/>
      <c r="AA172" s="310"/>
      <c r="AB172" s="310"/>
      <c r="AC172" s="310"/>
      <c r="AD172" s="310"/>
      <c r="AE172" s="310"/>
      <c r="AF172" s="310"/>
      <c r="AG172" s="310"/>
      <c r="AH172" s="310"/>
      <c r="AI172" s="310"/>
    </row>
    <row r="173" spans="1:35" ht="32.1" customHeight="1">
      <c r="B173" s="524"/>
      <c r="C173" s="523"/>
      <c r="D173" s="523">
        <f t="shared" si="46"/>
        <v>0</v>
      </c>
      <c r="E173" s="318" t="str">
        <f>VLOOKUP("[lfm]",Sprachindex!$A:$Z,Haftungsausschluß!$O$6,FALSE)</f>
        <v>[lfm]</v>
      </c>
      <c r="F173" s="318" t="str">
        <f>IF($L$14=1,Preisliste!$E$121,Preisliste!$F$121)</f>
        <v>H001082</v>
      </c>
      <c r="G173" s="988" t="str">
        <f>VLOOKUP("Dauerbodendichtung 80",Sprachindex!$A:$Z,Haftungsausschluß!$O$6,FALSE)</f>
        <v>Dauerbodendichtung 80</v>
      </c>
      <c r="H173" s="989"/>
      <c r="I173" s="989"/>
      <c r="J173" s="989"/>
      <c r="K173" s="989"/>
      <c r="L173" s="989"/>
      <c r="M173" s="990"/>
      <c r="N173" s="519"/>
      <c r="O173" s="518">
        <f t="shared" si="45"/>
        <v>0</v>
      </c>
      <c r="P173" s="324"/>
      <c r="Q173" s="415"/>
      <c r="R173" s="323"/>
      <c r="S173" s="310"/>
      <c r="T173" s="310"/>
      <c r="U173" s="310"/>
      <c r="V173" s="310"/>
      <c r="W173" s="310"/>
      <c r="X173" s="310"/>
      <c r="Y173" s="310"/>
      <c r="Z173" s="310"/>
      <c r="AA173" s="310"/>
      <c r="AB173" s="310"/>
      <c r="AC173" s="310"/>
      <c r="AD173" s="310"/>
      <c r="AE173" s="310"/>
      <c r="AF173" s="310"/>
      <c r="AG173" s="310"/>
      <c r="AH173" s="310"/>
      <c r="AI173" s="310"/>
    </row>
    <row r="174" spans="1:35" ht="32.1" customHeight="1">
      <c r="B174" s="615"/>
      <c r="C174" s="523">
        <v>750</v>
      </c>
      <c r="D174" s="614">
        <f t="shared" si="46"/>
        <v>0</v>
      </c>
      <c r="E174" s="318" t="str">
        <f>VLOOKUP("[Stk]",Sprachindex!$A:$Z,Haftungsausschluß!$O$6,FALSE)</f>
        <v>[Stk]</v>
      </c>
      <c r="F174" s="318" t="str">
        <f>IF($L$14=1,Preisliste!$E$123,Preisliste!$F$123)</f>
        <v>H251050</v>
      </c>
      <c r="G174" s="988" t="str">
        <f>VLOOKUP("Abdeckung VO 25, entgratet",Sprachindex!$A:$Z,Haftungsausschluß!$O$6,FALSE) &amp; IF('Kalkulation 1'!AH35," " &amp; H3,"")</f>
        <v>Abdeckung VO 25, entgratet</v>
      </c>
      <c r="H174" s="989"/>
      <c r="I174" s="989"/>
      <c r="J174" s="989"/>
      <c r="K174" s="989"/>
      <c r="L174" s="989"/>
      <c r="M174" s="990"/>
      <c r="N174" s="519"/>
      <c r="O174" s="518">
        <f t="shared" si="45"/>
        <v>0</v>
      </c>
      <c r="P174" s="324"/>
      <c r="Q174" s="315"/>
      <c r="R174" s="323"/>
      <c r="S174" s="310"/>
      <c r="T174" s="310"/>
      <c r="U174" s="310"/>
      <c r="V174" s="310"/>
      <c r="W174" s="310"/>
      <c r="X174" s="310"/>
      <c r="Y174" s="310"/>
      <c r="Z174" s="310"/>
      <c r="AA174" s="310"/>
      <c r="AB174" s="310"/>
      <c r="AC174" s="310"/>
      <c r="AD174" s="310"/>
      <c r="AE174" s="310"/>
      <c r="AF174" s="310"/>
      <c r="AG174" s="310"/>
      <c r="AH174" s="310"/>
      <c r="AI174" s="310"/>
    </row>
    <row r="175" spans="1:35" ht="32.1" customHeight="1">
      <c r="B175" s="615"/>
      <c r="C175" s="523">
        <v>1350</v>
      </c>
      <c r="D175" s="614">
        <f t="shared" si="46"/>
        <v>0</v>
      </c>
      <c r="E175" s="318" t="str">
        <f>VLOOKUP("[Stk]",Sprachindex!$A:$Z,Haftungsausschluß!$O$6,FALSE)</f>
        <v>[Stk]</v>
      </c>
      <c r="F175" s="318" t="str">
        <f>IF($L$14=1,Preisliste!$E$124,Preisliste!$F$124)</f>
        <v>H251051</v>
      </c>
      <c r="G175" s="988" t="str">
        <f>VLOOKUP("Abdeckung VO 25, entgratet",Sprachindex!$A:$Z,Haftungsausschluß!$O$6,FALSE) &amp; IF('Kalkulation 1'!AH35," " &amp; H3,"")</f>
        <v>Abdeckung VO 25, entgratet</v>
      </c>
      <c r="H175" s="989"/>
      <c r="I175" s="989"/>
      <c r="J175" s="989"/>
      <c r="K175" s="989"/>
      <c r="L175" s="989"/>
      <c r="M175" s="990"/>
      <c r="N175" s="519"/>
      <c r="O175" s="518">
        <f t="shared" ref="O175:O190" si="47">N175*D175</f>
        <v>0</v>
      </c>
      <c r="P175" s="324"/>
      <c r="Q175" s="315"/>
      <c r="R175" s="323"/>
      <c r="S175" s="310"/>
      <c r="T175" s="310"/>
      <c r="U175" s="310"/>
      <c r="V175" s="310"/>
      <c r="W175" s="310"/>
      <c r="X175" s="310"/>
      <c r="Y175" s="310"/>
      <c r="Z175" s="310"/>
      <c r="AA175" s="310"/>
      <c r="AB175" s="310"/>
      <c r="AC175" s="310"/>
      <c r="AD175" s="310"/>
      <c r="AE175" s="310"/>
      <c r="AF175" s="310"/>
      <c r="AG175" s="310"/>
      <c r="AH175" s="310"/>
      <c r="AI175" s="310"/>
    </row>
    <row r="176" spans="1:35" ht="32.1" customHeight="1">
      <c r="B176" s="615"/>
      <c r="C176" s="523">
        <v>750</v>
      </c>
      <c r="D176" s="614">
        <f t="shared" si="46"/>
        <v>0</v>
      </c>
      <c r="E176" s="318" t="str">
        <f>VLOOKUP("[Stk]",Sprachindex!$A:$Z,Haftungsausschluß!$O$6,FALSE)</f>
        <v>[Stk]</v>
      </c>
      <c r="F176" s="318" t="str">
        <f>IF($L$14=1,Preisliste!$E$126,Preisliste!$F$126)</f>
        <v>H501401</v>
      </c>
      <c r="G176" s="988" t="str">
        <f>VLOOKUP("Abdeckung VO 50, gebohrt und entgratet",Sprachindex!$A:$Z,Haftungsausschluß!$O$6,FALSE) &amp; IF('Kalkulation 1'!AH35," " &amp; H3,"")</f>
        <v>Abdeckung VO 50, gebohrt und entgratet</v>
      </c>
      <c r="H176" s="989"/>
      <c r="I176" s="989"/>
      <c r="J176" s="989"/>
      <c r="K176" s="989"/>
      <c r="L176" s="989"/>
      <c r="M176" s="990"/>
      <c r="N176" s="519"/>
      <c r="O176" s="518">
        <f t="shared" si="47"/>
        <v>0</v>
      </c>
      <c r="P176" s="324"/>
      <c r="Q176" s="315"/>
      <c r="R176" s="323"/>
      <c r="S176" s="310"/>
      <c r="T176" s="310"/>
      <c r="U176" s="310"/>
      <c r="V176" s="310"/>
      <c r="W176" s="310"/>
      <c r="X176" s="310"/>
      <c r="Y176" s="310"/>
      <c r="Z176" s="310"/>
      <c r="AA176" s="310"/>
      <c r="AB176" s="310"/>
      <c r="AC176" s="310"/>
      <c r="AD176" s="310"/>
      <c r="AE176" s="310"/>
      <c r="AF176" s="310"/>
      <c r="AG176" s="310"/>
      <c r="AH176" s="310"/>
      <c r="AI176" s="310"/>
    </row>
    <row r="177" spans="1:35" ht="32.1" customHeight="1">
      <c r="B177" s="615"/>
      <c r="C177" s="523">
        <v>1350</v>
      </c>
      <c r="D177" s="614">
        <f t="shared" si="46"/>
        <v>0</v>
      </c>
      <c r="E177" s="318" t="str">
        <f>VLOOKUP("[Stk]",Sprachindex!$A:$Z,Haftungsausschluß!$O$6,FALSE)</f>
        <v>[Stk]</v>
      </c>
      <c r="F177" s="318" t="str">
        <f>IF($L$14=1,Preisliste!$E$127,Preisliste!$F$127)</f>
        <v>H501411</v>
      </c>
      <c r="G177" s="988" t="str">
        <f>VLOOKUP("Abdeckung VO 50, gebohrt und entgratet",Sprachindex!$A:$Z,Haftungsausschluß!$O$6,FALSE) &amp; IF('Kalkulation 1'!AH35," " &amp; H3,"")</f>
        <v>Abdeckung VO 50, gebohrt und entgratet</v>
      </c>
      <c r="H177" s="989"/>
      <c r="I177" s="989"/>
      <c r="J177" s="989"/>
      <c r="K177" s="989"/>
      <c r="L177" s="989"/>
      <c r="M177" s="990"/>
      <c r="N177" s="519"/>
      <c r="O177" s="518">
        <f t="shared" si="47"/>
        <v>0</v>
      </c>
      <c r="P177" s="324"/>
      <c r="Q177" s="315"/>
      <c r="R177" s="323"/>
      <c r="S177" s="310"/>
      <c r="T177" s="310"/>
      <c r="U177" s="310"/>
      <c r="V177" s="310"/>
      <c r="W177" s="310"/>
      <c r="X177" s="310"/>
      <c r="Y177" s="310"/>
      <c r="Z177" s="310"/>
      <c r="AA177" s="310"/>
      <c r="AB177" s="310"/>
      <c r="AC177" s="310"/>
      <c r="AD177" s="310"/>
      <c r="AE177" s="310"/>
      <c r="AF177" s="310"/>
      <c r="AG177" s="310"/>
      <c r="AH177" s="310"/>
      <c r="AI177" s="310"/>
    </row>
    <row r="178" spans="1:35" ht="32.1" customHeight="1">
      <c r="B178" s="615"/>
      <c r="C178" s="523">
        <v>1750</v>
      </c>
      <c r="D178" s="614">
        <f t="shared" si="46"/>
        <v>0</v>
      </c>
      <c r="E178" s="318" t="str">
        <f>VLOOKUP("[Stk]",Sprachindex!$A:$Z,Haftungsausschluß!$O$6,FALSE)</f>
        <v>[Stk]</v>
      </c>
      <c r="F178" s="318" t="str">
        <f>IF($L$14=1,Preisliste!$E$128,Preisliste!$F$128)</f>
        <v>H501412</v>
      </c>
      <c r="G178" s="988" t="str">
        <f>VLOOKUP("Abdeckung VO 50, gebohrt und entgratet",Sprachindex!$A:$Z,Haftungsausschluß!$O$6,FALSE) &amp; IF('Kalkulation 1'!AH35," " &amp; H3,"")</f>
        <v>Abdeckung VO 50, gebohrt und entgratet</v>
      </c>
      <c r="H178" s="989"/>
      <c r="I178" s="989"/>
      <c r="J178" s="989"/>
      <c r="K178" s="989"/>
      <c r="L178" s="989"/>
      <c r="M178" s="990"/>
      <c r="N178" s="519"/>
      <c r="O178" s="518">
        <f t="shared" si="47"/>
        <v>0</v>
      </c>
      <c r="P178" s="324"/>
      <c r="Q178" s="315"/>
      <c r="R178" s="323"/>
      <c r="S178" s="310"/>
      <c r="T178" s="310"/>
      <c r="U178" s="310"/>
      <c r="V178" s="310"/>
      <c r="W178" s="310"/>
      <c r="X178" s="310"/>
      <c r="Y178" s="310"/>
      <c r="Z178" s="310"/>
      <c r="AA178" s="310"/>
      <c r="AB178" s="310"/>
      <c r="AC178" s="310"/>
      <c r="AD178" s="310"/>
      <c r="AE178" s="310"/>
      <c r="AF178" s="310"/>
      <c r="AG178" s="310"/>
      <c r="AH178" s="310"/>
      <c r="AI178" s="310"/>
    </row>
    <row r="179" spans="1:35" ht="32.1" customHeight="1">
      <c r="B179" s="615"/>
      <c r="C179" s="523">
        <v>2150</v>
      </c>
      <c r="D179" s="614">
        <f t="shared" si="46"/>
        <v>0</v>
      </c>
      <c r="E179" s="318" t="str">
        <f>VLOOKUP("[Stk]",Sprachindex!$A:$Z,Haftungsausschluß!$O$6,FALSE)</f>
        <v>[Stk]</v>
      </c>
      <c r="F179" s="318" t="str">
        <f>IF($L$14=1,Preisliste!$E$129,Preisliste!$F$129)</f>
        <v>H501422</v>
      </c>
      <c r="G179" s="988" t="str">
        <f>VLOOKUP("Abdeckung VO 50, gebohrt und entgratet",Sprachindex!$A:$Z,Haftungsausschluß!$O$6,FALSE) &amp; IF('Kalkulation 1'!AH35," " &amp; H3,"")</f>
        <v>Abdeckung VO 50, gebohrt und entgratet</v>
      </c>
      <c r="H179" s="989"/>
      <c r="I179" s="989"/>
      <c r="J179" s="989"/>
      <c r="K179" s="989"/>
      <c r="L179" s="989"/>
      <c r="M179" s="990"/>
      <c r="N179" s="519"/>
      <c r="O179" s="518">
        <f t="shared" si="47"/>
        <v>0</v>
      </c>
      <c r="P179" s="324"/>
      <c r="Q179" s="315"/>
      <c r="R179" s="323"/>
      <c r="S179" s="310"/>
      <c r="T179" s="310"/>
      <c r="U179" s="310"/>
      <c r="V179" s="310"/>
      <c r="W179" s="310"/>
      <c r="X179" s="310"/>
      <c r="Y179" s="310"/>
      <c r="Z179" s="310"/>
      <c r="AA179" s="310"/>
      <c r="AB179" s="310"/>
      <c r="AC179" s="310"/>
      <c r="AD179" s="310"/>
      <c r="AE179" s="310"/>
      <c r="AF179" s="310"/>
      <c r="AG179" s="310"/>
      <c r="AH179" s="310"/>
      <c r="AI179" s="310"/>
    </row>
    <row r="180" spans="1:35" ht="32.1" customHeight="1">
      <c r="B180" s="615"/>
      <c r="C180" s="523">
        <v>750</v>
      </c>
      <c r="D180" s="614">
        <f t="shared" si="46"/>
        <v>0</v>
      </c>
      <c r="E180" s="318" t="str">
        <f>VLOOKUP("[Stk]",Sprachindex!$A:$Z,Haftungsausschluß!$O$6,FALSE)</f>
        <v>[Stk]</v>
      </c>
      <c r="F180" s="318" t="str">
        <f>IF($L$14=1,Preisliste!$E$141,Preisliste!$F$141)</f>
        <v>H801401</v>
      </c>
      <c r="G180" s="988" t="str">
        <f>VLOOKUP("Abdeckung VO 80, gebohrt und entgratet",Sprachindex!$A:$Z,Haftungsausschluß!$O$6,FALSE) &amp; IF('Kalkulation 1'!AH35," " &amp; H3,"")</f>
        <v>Abdeckung VO 80, gebohrt und entgratet</v>
      </c>
      <c r="H180" s="989"/>
      <c r="I180" s="989"/>
      <c r="J180" s="989"/>
      <c r="K180" s="989"/>
      <c r="L180" s="989"/>
      <c r="M180" s="990"/>
      <c r="N180" s="519"/>
      <c r="O180" s="518">
        <f t="shared" si="47"/>
        <v>0</v>
      </c>
      <c r="P180" s="324"/>
      <c r="Q180" s="315"/>
      <c r="R180" s="323"/>
      <c r="S180" s="310"/>
      <c r="T180" s="310"/>
      <c r="U180" s="310"/>
      <c r="V180" s="310"/>
      <c r="W180" s="310"/>
      <c r="X180" s="310"/>
      <c r="Y180" s="310"/>
      <c r="Z180" s="310"/>
      <c r="AA180" s="310"/>
      <c r="AB180" s="310"/>
      <c r="AC180" s="310"/>
      <c r="AD180" s="310"/>
      <c r="AE180" s="310"/>
      <c r="AF180" s="310"/>
      <c r="AG180" s="310"/>
      <c r="AH180" s="310"/>
      <c r="AI180" s="310"/>
    </row>
    <row r="181" spans="1:35" ht="32.1" customHeight="1">
      <c r="B181" s="615"/>
      <c r="C181" s="523">
        <v>1350</v>
      </c>
      <c r="D181" s="614">
        <f t="shared" si="46"/>
        <v>0</v>
      </c>
      <c r="E181" s="318" t="str">
        <f>VLOOKUP("[Stk]",Sprachindex!$A:$Z,Haftungsausschluß!$O$6,FALSE)</f>
        <v>[Stk]</v>
      </c>
      <c r="F181" s="318" t="str">
        <f>IF($L$14=1,Preisliste!$E$142,Preisliste!$F$142)</f>
        <v>H801411</v>
      </c>
      <c r="G181" s="988" t="str">
        <f>VLOOKUP("Abdeckung VO 80, gebohrt und entgratet",Sprachindex!$A:$Z,Haftungsausschluß!$O$6,FALSE) &amp; IF('Kalkulation 1'!AH35," " &amp; H3,"")</f>
        <v>Abdeckung VO 80, gebohrt und entgratet</v>
      </c>
      <c r="H181" s="989"/>
      <c r="I181" s="989"/>
      <c r="J181" s="989"/>
      <c r="K181" s="989"/>
      <c r="L181" s="989"/>
      <c r="M181" s="990"/>
      <c r="N181" s="519"/>
      <c r="O181" s="518">
        <f t="shared" ref="O181:O183" si="48">N181*D181</f>
        <v>0</v>
      </c>
      <c r="P181" s="324"/>
      <c r="Q181" s="315"/>
      <c r="R181" s="323"/>
      <c r="S181" s="310"/>
      <c r="T181" s="310"/>
      <c r="U181" s="310"/>
      <c r="V181" s="310"/>
      <c r="W181" s="310"/>
      <c r="X181" s="310"/>
      <c r="Y181" s="310"/>
      <c r="Z181" s="310"/>
      <c r="AA181" s="310"/>
      <c r="AB181" s="310"/>
      <c r="AC181" s="310"/>
      <c r="AD181" s="310"/>
      <c r="AE181" s="310"/>
      <c r="AF181" s="310"/>
      <c r="AG181" s="310"/>
      <c r="AH181" s="310"/>
      <c r="AI181" s="310"/>
    </row>
    <row r="182" spans="1:35" ht="32.1" customHeight="1">
      <c r="B182" s="615"/>
      <c r="C182" s="523">
        <v>1750</v>
      </c>
      <c r="D182" s="614">
        <f t="shared" si="46"/>
        <v>0</v>
      </c>
      <c r="E182" s="318" t="str">
        <f>VLOOKUP("[Stk]",Sprachindex!$A:$Z,Haftungsausschluß!$O$6,FALSE)</f>
        <v>[Stk]</v>
      </c>
      <c r="F182" s="318" t="str">
        <f>IF($L$14=1,Preisliste!$E$143,Preisliste!$F$143)</f>
        <v>H801412</v>
      </c>
      <c r="G182" s="988" t="str">
        <f>VLOOKUP("Abdeckung VO 80, gebohrt und entgratet",Sprachindex!$A:$Z,Haftungsausschluß!$O$6,FALSE) &amp; IF('Kalkulation 1'!AH35," " &amp; H3,"")</f>
        <v>Abdeckung VO 80, gebohrt und entgratet</v>
      </c>
      <c r="H182" s="989"/>
      <c r="I182" s="989"/>
      <c r="J182" s="989"/>
      <c r="K182" s="989"/>
      <c r="L182" s="989"/>
      <c r="M182" s="990"/>
      <c r="N182" s="519"/>
      <c r="O182" s="518">
        <f t="shared" si="48"/>
        <v>0</v>
      </c>
      <c r="P182" s="324"/>
      <c r="Q182" s="315"/>
      <c r="R182" s="323"/>
      <c r="S182" s="310"/>
      <c r="T182" s="310"/>
      <c r="U182" s="310"/>
      <c r="V182" s="310"/>
      <c r="W182" s="310"/>
      <c r="X182" s="310"/>
      <c r="Y182" s="310"/>
      <c r="Z182" s="310"/>
      <c r="AA182" s="310"/>
      <c r="AB182" s="310"/>
      <c r="AC182" s="310"/>
      <c r="AD182" s="310"/>
      <c r="AE182" s="310"/>
      <c r="AF182" s="310"/>
      <c r="AG182" s="310"/>
      <c r="AH182" s="310"/>
      <c r="AI182" s="310"/>
    </row>
    <row r="183" spans="1:35" ht="32.1" customHeight="1">
      <c r="B183" s="615"/>
      <c r="C183" s="523">
        <v>2150</v>
      </c>
      <c r="D183" s="614">
        <f t="shared" si="46"/>
        <v>0</v>
      </c>
      <c r="E183" s="318" t="str">
        <f>VLOOKUP("[Stk]",Sprachindex!$A:$Z,Haftungsausschluß!$O$6,FALSE)</f>
        <v>[Stk]</v>
      </c>
      <c r="F183" s="318" t="str">
        <f>IF($L$14=1,Preisliste!$E$144,Preisliste!$F$144)</f>
        <v>H801422</v>
      </c>
      <c r="G183" s="988" t="str">
        <f>VLOOKUP("Abdeckung VO 80, gebohrt und entgratet",Sprachindex!$A:$Z,Haftungsausschluß!$O$6,FALSE) &amp; IF('Kalkulation 1'!AH35," " &amp; H3,"")</f>
        <v>Abdeckung VO 80, gebohrt und entgratet</v>
      </c>
      <c r="H183" s="989"/>
      <c r="I183" s="989"/>
      <c r="J183" s="989"/>
      <c r="K183" s="989"/>
      <c r="L183" s="989"/>
      <c r="M183" s="990"/>
      <c r="N183" s="519"/>
      <c r="O183" s="518">
        <f t="shared" si="48"/>
        <v>0</v>
      </c>
      <c r="P183" s="324"/>
      <c r="Q183" s="315"/>
      <c r="R183" s="323"/>
      <c r="S183" s="310"/>
      <c r="T183" s="310"/>
      <c r="U183" s="310"/>
      <c r="V183" s="310"/>
      <c r="W183" s="310"/>
      <c r="X183" s="310"/>
      <c r="Y183" s="310"/>
      <c r="Z183" s="310"/>
      <c r="AA183" s="310"/>
      <c r="AB183" s="310"/>
      <c r="AC183" s="310"/>
      <c r="AD183" s="310"/>
      <c r="AE183" s="310"/>
      <c r="AF183" s="310"/>
      <c r="AG183" s="310"/>
      <c r="AH183" s="310"/>
      <c r="AI183" s="310"/>
    </row>
    <row r="184" spans="1:35" ht="32.1" customHeight="1">
      <c r="B184" s="615"/>
      <c r="C184" s="523">
        <v>750</v>
      </c>
      <c r="D184" s="614">
        <f t="shared" si="46"/>
        <v>0</v>
      </c>
      <c r="E184" s="318" t="str">
        <f>VLOOKUP("[Stk]",Sprachindex!$A:$Z,Haftungsausschluß!$O$6,FALSE)</f>
        <v>[Stk]</v>
      </c>
      <c r="F184" s="318" t="str">
        <f>IF($L$14=1,Preisliste!$E$131,Preisliste!$F$131)</f>
        <v>H251040</v>
      </c>
      <c r="G184" s="988" t="str">
        <f>VLOOKUP("Abdeckung V 25, entgratet",Sprachindex!$A:$Z,Haftungsausschluß!$O$6,FALSE) &amp; IF('Kalkulation 1'!AH35," " &amp; H3,"")</f>
        <v>Abdeckung V 25, entgratet</v>
      </c>
      <c r="H184" s="989"/>
      <c r="I184" s="989"/>
      <c r="J184" s="989"/>
      <c r="K184" s="989"/>
      <c r="L184" s="989"/>
      <c r="M184" s="990"/>
      <c r="N184" s="519"/>
      <c r="O184" s="518">
        <f t="shared" si="47"/>
        <v>0</v>
      </c>
      <c r="P184" s="324"/>
      <c r="Q184" s="315"/>
      <c r="R184" s="323"/>
      <c r="S184" s="310"/>
      <c r="T184" s="310"/>
      <c r="U184" s="310"/>
      <c r="V184" s="310"/>
      <c r="W184" s="310"/>
      <c r="X184" s="310"/>
      <c r="Y184" s="310"/>
      <c r="Z184" s="310"/>
      <c r="AA184" s="310"/>
      <c r="AB184" s="310"/>
      <c r="AC184" s="310"/>
      <c r="AD184" s="310"/>
      <c r="AE184" s="310"/>
      <c r="AF184" s="310"/>
      <c r="AG184" s="310"/>
      <c r="AH184" s="310"/>
      <c r="AI184" s="310"/>
    </row>
    <row r="185" spans="1:35" ht="32.1" customHeight="1">
      <c r="B185" s="615"/>
      <c r="C185" s="523">
        <v>1350</v>
      </c>
      <c r="D185" s="614">
        <f t="shared" si="46"/>
        <v>0</v>
      </c>
      <c r="E185" s="318" t="str">
        <f>VLOOKUP("[Stk]",Sprachindex!$A:$Z,Haftungsausschluß!$O$6,FALSE)</f>
        <v>[Stk]</v>
      </c>
      <c r="F185" s="318" t="str">
        <f>IF($L$14=1,Preisliste!$E$132,Preisliste!$F$132)</f>
        <v>H251041</v>
      </c>
      <c r="G185" s="988" t="str">
        <f>VLOOKUP("Abdeckung V 25, entgratet",Sprachindex!$A:$Z,Haftungsausschluß!$O$6,FALSE) &amp; IF('Kalkulation 1'!AH35," " &amp; H3,"")</f>
        <v>Abdeckung V 25, entgratet</v>
      </c>
      <c r="H185" s="989"/>
      <c r="I185" s="989"/>
      <c r="J185" s="989"/>
      <c r="K185" s="989"/>
      <c r="L185" s="989"/>
      <c r="M185" s="990"/>
      <c r="N185" s="519"/>
      <c r="O185" s="518">
        <f t="shared" si="47"/>
        <v>0</v>
      </c>
      <c r="P185" s="324"/>
      <c r="Q185" s="315"/>
      <c r="R185" s="323"/>
      <c r="S185" s="310"/>
      <c r="T185" s="310"/>
      <c r="U185" s="310"/>
      <c r="V185" s="310"/>
      <c r="W185" s="310"/>
      <c r="X185" s="310"/>
      <c r="Y185" s="310"/>
      <c r="Z185" s="310"/>
      <c r="AA185" s="310"/>
      <c r="AB185" s="310"/>
      <c r="AC185" s="310"/>
      <c r="AD185" s="310"/>
      <c r="AE185" s="310"/>
      <c r="AF185" s="310"/>
      <c r="AG185" s="310"/>
      <c r="AH185" s="310"/>
      <c r="AI185" s="310"/>
    </row>
    <row r="186" spans="1:35" ht="32.1" customHeight="1">
      <c r="B186" s="615"/>
      <c r="C186" s="523">
        <v>750</v>
      </c>
      <c r="D186" s="614">
        <f t="shared" si="46"/>
        <v>0</v>
      </c>
      <c r="E186" s="318" t="str">
        <f>VLOOKUP("[Stk]",Sprachindex!$A:$Z,Haftungsausschluß!$O$6,FALSE)</f>
        <v>[Stk]</v>
      </c>
      <c r="F186" s="318" t="str">
        <f>IF($L$14=1,Preisliste!$E$135,Preisliste!$F$135)</f>
        <v>H501501</v>
      </c>
      <c r="G186" s="988" t="str">
        <f>VLOOKUP("Abdeckung V 50, gebohrt und entgratet",Sprachindex!$A:$Z,Haftungsausschluß!$O$6,FALSE) &amp; IF('Kalkulation 1'!AH35," " &amp; H3,"")</f>
        <v>Abdeckung V 50, gebohrt und entgratet</v>
      </c>
      <c r="H186" s="989"/>
      <c r="I186" s="989"/>
      <c r="J186" s="989"/>
      <c r="K186" s="989"/>
      <c r="L186" s="989"/>
      <c r="M186" s="990"/>
      <c r="N186" s="519"/>
      <c r="O186" s="518">
        <f t="shared" si="47"/>
        <v>0</v>
      </c>
      <c r="P186" s="324"/>
      <c r="Q186" s="315"/>
      <c r="R186" s="323"/>
      <c r="S186" s="310"/>
      <c r="T186" s="310"/>
      <c r="U186" s="310"/>
      <c r="V186" s="310"/>
      <c r="W186" s="310"/>
      <c r="X186" s="310"/>
      <c r="Y186" s="310"/>
      <c r="Z186" s="310"/>
      <c r="AA186" s="310"/>
      <c r="AB186" s="310"/>
      <c r="AC186" s="310"/>
      <c r="AD186" s="310"/>
      <c r="AE186" s="310"/>
      <c r="AF186" s="310"/>
      <c r="AG186" s="310"/>
      <c r="AH186" s="310"/>
      <c r="AI186" s="310"/>
    </row>
    <row r="187" spans="1:35" s="533" customFormat="1" ht="32.1" customHeight="1">
      <c r="A187" s="288"/>
      <c r="B187" s="615"/>
      <c r="C187" s="523">
        <v>1350</v>
      </c>
      <c r="D187" s="614">
        <f t="shared" si="46"/>
        <v>0</v>
      </c>
      <c r="E187" s="318" t="str">
        <f>VLOOKUP("[Stk]",Sprachindex!$A:$Z,Haftungsausschluß!$O$6,FALSE)</f>
        <v>[Stk]</v>
      </c>
      <c r="F187" s="318" t="str">
        <f>IF($L$14=1,Preisliste!$E$136,Preisliste!$F$136)</f>
        <v>H501511</v>
      </c>
      <c r="G187" s="988" t="str">
        <f>VLOOKUP("Abdeckung V 50, gebohrt und entgratet",Sprachindex!$A:$Z,Haftungsausschluß!$O$6,FALSE) &amp; IF('Kalkulation 1'!AH35," " &amp; H3,"")</f>
        <v>Abdeckung V 50, gebohrt und entgratet</v>
      </c>
      <c r="H187" s="989"/>
      <c r="I187" s="989"/>
      <c r="J187" s="989"/>
      <c r="K187" s="989"/>
      <c r="L187" s="989"/>
      <c r="M187" s="990"/>
      <c r="N187" s="519">
        <v>21</v>
      </c>
      <c r="O187" s="518">
        <f t="shared" ref="O187:O189" si="49">N187*D187</f>
        <v>0</v>
      </c>
      <c r="P187" s="324"/>
      <c r="Q187" s="315"/>
      <c r="R187" s="526"/>
      <c r="S187" s="321"/>
      <c r="T187" s="321"/>
      <c r="U187" s="321"/>
      <c r="V187" s="321"/>
      <c r="W187" s="321"/>
      <c r="X187" s="321"/>
      <c r="Y187" s="321"/>
      <c r="Z187" s="321"/>
      <c r="AA187" s="321"/>
      <c r="AB187" s="321"/>
      <c r="AC187" s="321"/>
      <c r="AD187" s="321"/>
      <c r="AE187" s="321"/>
      <c r="AF187" s="321"/>
      <c r="AG187" s="321"/>
      <c r="AH187" s="321"/>
      <c r="AI187" s="321"/>
    </row>
    <row r="188" spans="1:35" ht="32.1" customHeight="1">
      <c r="B188" s="615"/>
      <c r="C188" s="523">
        <v>1750</v>
      </c>
      <c r="D188" s="614">
        <f t="shared" si="46"/>
        <v>0</v>
      </c>
      <c r="E188" s="318" t="str">
        <f>VLOOKUP("[Stk]",Sprachindex!$A:$Z,Haftungsausschluß!$O$6,FALSE)</f>
        <v>[Stk]</v>
      </c>
      <c r="F188" s="318" t="str">
        <f>IF($L$14=1,Preisliste!$E$137,Preisliste!$F$137)</f>
        <v>H501512</v>
      </c>
      <c r="G188" s="988" t="str">
        <f>VLOOKUP("Abdeckung V 50, gebohrt und entgratet",Sprachindex!$A:$Z,Haftungsausschluß!$O$6,FALSE) &amp; IF('Kalkulation 1'!AH35," " &amp; H3,"")</f>
        <v>Abdeckung V 50, gebohrt und entgratet</v>
      </c>
      <c r="H188" s="989"/>
      <c r="I188" s="989"/>
      <c r="J188" s="989"/>
      <c r="K188" s="989"/>
      <c r="L188" s="989"/>
      <c r="M188" s="990"/>
      <c r="N188" s="519"/>
      <c r="O188" s="518">
        <f t="shared" si="49"/>
        <v>0</v>
      </c>
      <c r="P188" s="324"/>
      <c r="Q188" s="315"/>
      <c r="R188" s="323"/>
      <c r="S188" s="310"/>
      <c r="T188" s="310"/>
      <c r="U188" s="310"/>
      <c r="V188" s="310"/>
      <c r="W188" s="310"/>
      <c r="X188" s="310"/>
      <c r="Y188" s="310"/>
      <c r="Z188" s="310"/>
      <c r="AA188" s="310"/>
      <c r="AB188" s="310"/>
      <c r="AC188" s="310"/>
      <c r="AD188" s="310"/>
      <c r="AE188" s="310"/>
      <c r="AF188" s="310"/>
      <c r="AG188" s="310"/>
      <c r="AH188" s="310"/>
      <c r="AI188" s="310"/>
    </row>
    <row r="189" spans="1:35" ht="32.1" customHeight="1">
      <c r="B189" s="615"/>
      <c r="C189" s="523">
        <v>2150</v>
      </c>
      <c r="D189" s="614">
        <f t="shared" si="46"/>
        <v>0</v>
      </c>
      <c r="E189" s="318" t="str">
        <f>VLOOKUP("[Stk]",Sprachindex!$A:$Z,Haftungsausschluß!$O$6,FALSE)</f>
        <v>[Stk]</v>
      </c>
      <c r="F189" s="318" t="str">
        <f>IF($L$14=1,Preisliste!$E$138,Preisliste!$F$138)</f>
        <v>H501522</v>
      </c>
      <c r="G189" s="988" t="str">
        <f>VLOOKUP("Abdeckung V 50, gebohrt und entgratet",Sprachindex!$A:$Z,Haftungsausschluß!$O$6,FALSE) &amp; IF('Kalkulation 1'!AH35," " &amp; H3,"")</f>
        <v>Abdeckung V 50, gebohrt und entgratet</v>
      </c>
      <c r="H189" s="989"/>
      <c r="I189" s="989"/>
      <c r="J189" s="989"/>
      <c r="K189" s="989"/>
      <c r="L189" s="989"/>
      <c r="M189" s="990"/>
      <c r="N189" s="519"/>
      <c r="O189" s="518">
        <f t="shared" si="49"/>
        <v>0</v>
      </c>
      <c r="P189" s="324"/>
      <c r="Q189" s="315"/>
      <c r="R189" s="323"/>
      <c r="S189" s="310"/>
      <c r="T189" s="310"/>
      <c r="U189" s="310"/>
      <c r="V189" s="310"/>
      <c r="W189" s="310"/>
      <c r="X189" s="310"/>
      <c r="Y189" s="310"/>
      <c r="Z189" s="310"/>
      <c r="AA189" s="310"/>
      <c r="AB189" s="310"/>
      <c r="AC189" s="310"/>
      <c r="AD189" s="310"/>
      <c r="AE189" s="310"/>
      <c r="AF189" s="310"/>
      <c r="AG189" s="310"/>
      <c r="AH189" s="310"/>
      <c r="AI189" s="310"/>
    </row>
    <row r="190" spans="1:35" ht="32.1" customHeight="1">
      <c r="B190" s="615"/>
      <c r="C190" s="523">
        <v>750</v>
      </c>
      <c r="D190" s="614">
        <f t="shared" si="46"/>
        <v>0</v>
      </c>
      <c r="E190" s="318" t="str">
        <f>VLOOKUP("[Stk]",Sprachindex!$A:$Z,Haftungsausschluß!$O$6,FALSE)</f>
        <v>[Stk]</v>
      </c>
      <c r="F190" s="318" t="str">
        <f>IF($L$14=1,Preisliste!$E$146,Preisliste!$F$146)</f>
        <v>H801501</v>
      </c>
      <c r="G190" s="988" t="str">
        <f>VLOOKUP("Abdeckung V 80, gebohrt und entgratet",Sprachindex!$A:$Z,Haftungsausschluß!$O$6,FALSE) &amp; IF('Kalkulation 1'!AH35," " &amp; H3,"")</f>
        <v>Abdeckung V 80, gebohrt und entgratet</v>
      </c>
      <c r="H190" s="989"/>
      <c r="I190" s="989"/>
      <c r="J190" s="989"/>
      <c r="K190" s="989"/>
      <c r="L190" s="989"/>
      <c r="M190" s="990"/>
      <c r="N190" s="519"/>
      <c r="O190" s="518">
        <f t="shared" si="47"/>
        <v>0</v>
      </c>
      <c r="P190" s="324"/>
      <c r="Q190" s="315"/>
      <c r="R190" s="323"/>
      <c r="S190" s="310"/>
      <c r="T190" s="310"/>
      <c r="U190" s="310"/>
      <c r="V190" s="310"/>
      <c r="W190" s="310"/>
      <c r="X190" s="310"/>
      <c r="Y190" s="310"/>
      <c r="Z190" s="310"/>
      <c r="AA190" s="310"/>
      <c r="AB190" s="310"/>
      <c r="AC190" s="310"/>
      <c r="AD190" s="310"/>
      <c r="AE190" s="310"/>
      <c r="AF190" s="310"/>
      <c r="AG190" s="310"/>
      <c r="AH190" s="310"/>
      <c r="AI190" s="310"/>
    </row>
    <row r="191" spans="1:35" s="533" customFormat="1" ht="32.1" customHeight="1">
      <c r="A191" s="288"/>
      <c r="B191" s="615"/>
      <c r="C191" s="523">
        <v>1350</v>
      </c>
      <c r="D191" s="614">
        <f t="shared" si="46"/>
        <v>0</v>
      </c>
      <c r="E191" s="318" t="str">
        <f>VLOOKUP("[Stk]",Sprachindex!$A:$Z,Haftungsausschluß!$O$6,FALSE)</f>
        <v>[Stk]</v>
      </c>
      <c r="F191" s="318" t="str">
        <f>IF($L$14=1,Preisliste!$E$147,Preisliste!$F$147)</f>
        <v>H801511</v>
      </c>
      <c r="G191" s="988" t="str">
        <f>VLOOKUP("Abdeckung V 80, gebohrt und entgratet",Sprachindex!$A:$Z,Haftungsausschluß!$O$6,FALSE) &amp; IF('Kalkulation 1'!AH35," " &amp; H3,"")</f>
        <v>Abdeckung V 80, gebohrt und entgratet</v>
      </c>
      <c r="H191" s="989"/>
      <c r="I191" s="989"/>
      <c r="J191" s="989"/>
      <c r="K191" s="989"/>
      <c r="L191" s="989"/>
      <c r="M191" s="990"/>
      <c r="N191" s="552"/>
      <c r="O191" s="550">
        <f t="shared" ref="O191:O194" si="50">N191*D191</f>
        <v>0</v>
      </c>
      <c r="P191" s="324"/>
      <c r="Q191" s="315"/>
      <c r="R191" s="526"/>
      <c r="S191" s="321"/>
      <c r="T191" s="321"/>
      <c r="U191" s="321"/>
      <c r="V191" s="321"/>
      <c r="W191" s="321"/>
      <c r="X191" s="321"/>
      <c r="Y191" s="321"/>
      <c r="Z191" s="321"/>
      <c r="AA191" s="321"/>
      <c r="AB191" s="321"/>
      <c r="AC191" s="321"/>
      <c r="AD191" s="321"/>
      <c r="AE191" s="321"/>
      <c r="AF191" s="321"/>
      <c r="AG191" s="321"/>
      <c r="AH191" s="321"/>
      <c r="AI191" s="321"/>
    </row>
    <row r="192" spans="1:35" ht="32.1" customHeight="1">
      <c r="B192" s="615"/>
      <c r="C192" s="523">
        <v>1750</v>
      </c>
      <c r="D192" s="614">
        <f t="shared" si="46"/>
        <v>0</v>
      </c>
      <c r="E192" s="318" t="str">
        <f>VLOOKUP("[Stk]",Sprachindex!$A:$Z,Haftungsausschluß!$O$6,FALSE)</f>
        <v>[Stk]</v>
      </c>
      <c r="F192" s="318" t="str">
        <f>IF($L$14=1,Preisliste!$E$148,Preisliste!$F$148)</f>
        <v>H801512</v>
      </c>
      <c r="G192" s="988" t="str">
        <f>VLOOKUP("Abdeckung V 80, gebohrt und entgratet",Sprachindex!$A:$Z,Haftungsausschluß!$O$6,FALSE) &amp; IF('Kalkulation 1'!AH35," " &amp; H3,"")</f>
        <v>Abdeckung V 80, gebohrt und entgratet</v>
      </c>
      <c r="H192" s="989"/>
      <c r="I192" s="989"/>
      <c r="J192" s="989"/>
      <c r="K192" s="989"/>
      <c r="L192" s="989"/>
      <c r="M192" s="990"/>
      <c r="N192" s="519"/>
      <c r="O192" s="518">
        <f t="shared" si="50"/>
        <v>0</v>
      </c>
      <c r="P192" s="324"/>
      <c r="Q192" s="315"/>
      <c r="R192" s="323"/>
      <c r="S192" s="310"/>
      <c r="T192" s="310"/>
      <c r="U192" s="310"/>
      <c r="V192" s="310"/>
      <c r="W192" s="310"/>
      <c r="X192" s="310"/>
      <c r="Y192" s="310"/>
      <c r="Z192" s="310"/>
      <c r="AA192" s="310"/>
      <c r="AB192" s="310"/>
      <c r="AC192" s="310"/>
      <c r="AD192" s="310"/>
      <c r="AE192" s="310"/>
      <c r="AF192" s="310"/>
      <c r="AG192" s="310"/>
      <c r="AH192" s="310"/>
      <c r="AI192" s="310"/>
    </row>
    <row r="193" spans="1:36" ht="32.1" customHeight="1">
      <c r="B193" s="615"/>
      <c r="C193" s="523">
        <v>2150</v>
      </c>
      <c r="D193" s="614">
        <f t="shared" si="46"/>
        <v>0</v>
      </c>
      <c r="E193" s="318" t="str">
        <f>VLOOKUP("[Stk]",Sprachindex!$A:$Z,Haftungsausschluß!$O$6,FALSE)</f>
        <v>[Stk]</v>
      </c>
      <c r="F193" s="318" t="str">
        <f>IF($L$14=1,Preisliste!$E$149,Preisliste!$F$149)</f>
        <v>H801522</v>
      </c>
      <c r="G193" s="988" t="str">
        <f>VLOOKUP("Abdeckung V 80, gebohrt und entgratet",Sprachindex!$A:$Z,Haftungsausschluß!$O$6,FALSE) &amp; IF('Kalkulation 1'!AH35," " &amp; H3,"")</f>
        <v>Abdeckung V 80, gebohrt und entgratet</v>
      </c>
      <c r="H193" s="989"/>
      <c r="I193" s="989"/>
      <c r="J193" s="989"/>
      <c r="K193" s="989"/>
      <c r="L193" s="989"/>
      <c r="M193" s="990"/>
      <c r="N193" s="519"/>
      <c r="O193" s="518">
        <f t="shared" si="50"/>
        <v>0</v>
      </c>
      <c r="P193" s="324"/>
      <c r="Q193" s="315"/>
      <c r="R193" s="323"/>
      <c r="S193" s="310"/>
      <c r="T193" s="310"/>
      <c r="U193" s="310"/>
      <c r="V193" s="310"/>
      <c r="W193" s="310"/>
      <c r="X193" s="310"/>
      <c r="Y193" s="310"/>
      <c r="Z193" s="310"/>
      <c r="AA193" s="310"/>
      <c r="AB193" s="310"/>
      <c r="AC193" s="310"/>
      <c r="AD193" s="310"/>
      <c r="AE193" s="310"/>
      <c r="AF193" s="310"/>
      <c r="AG193" s="310"/>
      <c r="AH193" s="310"/>
      <c r="AI193" s="310"/>
    </row>
    <row r="194" spans="1:36" ht="32.1" customHeight="1">
      <c r="B194" s="615"/>
      <c r="C194" s="523"/>
      <c r="D194" s="614">
        <f t="shared" si="46"/>
        <v>0</v>
      </c>
      <c r="E194" s="318" t="str">
        <f>VLOOKUP("[Stk]",Sprachindex!$A:$Z,Haftungsausschluß!$O$6,FALSE)</f>
        <v>[Stk]</v>
      </c>
      <c r="F194" s="318" t="str">
        <f>IF($L$14=1,Preisliste!$E$152,Preisliste!$F$152)</f>
        <v>H001010</v>
      </c>
      <c r="G194" s="988" t="str">
        <f>VLOOKUP("Sicherungsschraube für Abdeckung",Sprachindex!$A:$Z,Haftungsausschluß!$O$6,FALSE)</f>
        <v>Sicherungsschraube für Abdeckung</v>
      </c>
      <c r="H194" s="989"/>
      <c r="I194" s="989"/>
      <c r="J194" s="989"/>
      <c r="K194" s="989"/>
      <c r="L194" s="989"/>
      <c r="M194" s="990"/>
      <c r="N194" s="519"/>
      <c r="O194" s="518">
        <f t="shared" si="50"/>
        <v>0</v>
      </c>
      <c r="P194" s="324"/>
      <c r="Q194" s="315"/>
      <c r="R194" s="323"/>
      <c r="S194" s="310"/>
      <c r="T194" s="310"/>
      <c r="U194" s="310"/>
      <c r="V194" s="310"/>
      <c r="W194" s="310"/>
      <c r="X194" s="310"/>
      <c r="Y194" s="310"/>
      <c r="Z194" s="310"/>
      <c r="AA194" s="310"/>
      <c r="AB194" s="310"/>
      <c r="AC194" s="310"/>
      <c r="AD194" s="310"/>
      <c r="AE194" s="310"/>
      <c r="AF194" s="310"/>
      <c r="AG194" s="310"/>
      <c r="AH194" s="310"/>
      <c r="AI194" s="310"/>
    </row>
    <row r="195" spans="1:36" ht="32.1" customHeight="1">
      <c r="B195" s="615"/>
      <c r="C195" s="523"/>
      <c r="D195" s="614">
        <f t="shared" si="46"/>
        <v>0</v>
      </c>
      <c r="E195" s="318" t="str">
        <f>VLOOKUP("[Paar]",Sprachindex!$A:$Z,Haftungsausschluß!$O$6,FALSE)</f>
        <v>[Paar]</v>
      </c>
      <c r="F195" s="318" t="str">
        <f>IF($L$14=1,Preisliste!$E$154,Preisliste!$F$154)</f>
        <v>H001020</v>
      </c>
      <c r="G195" s="988" t="str">
        <f>VLOOKUP("Halterung für Dammbalken",Sprachindex!$A:$Z,Haftungsausschluß!$O$6,FALSE)</f>
        <v>Halterung für Dammbalken</v>
      </c>
      <c r="H195" s="989"/>
      <c r="I195" s="989"/>
      <c r="J195" s="989"/>
      <c r="K195" s="989"/>
      <c r="L195" s="989"/>
      <c r="M195" s="990"/>
      <c r="N195" s="519"/>
      <c r="O195" s="518">
        <f t="shared" ref="O195:O198" si="51">N195*D195</f>
        <v>0</v>
      </c>
      <c r="P195" s="681"/>
      <c r="Q195" s="315"/>
      <c r="R195" s="323"/>
      <c r="S195" s="310"/>
      <c r="T195" s="310"/>
      <c r="U195" s="310"/>
      <c r="V195" s="310"/>
      <c r="W195" s="310"/>
      <c r="X195" s="310"/>
      <c r="Y195" s="310"/>
      <c r="Z195" s="310"/>
      <c r="AA195" s="310"/>
      <c r="AB195" s="310"/>
      <c r="AC195" s="310"/>
      <c r="AD195" s="310"/>
      <c r="AE195" s="310"/>
      <c r="AF195" s="310"/>
      <c r="AG195" s="310"/>
      <c r="AH195" s="310"/>
      <c r="AI195" s="310"/>
    </row>
    <row r="196" spans="1:36" ht="32.1" customHeight="1">
      <c r="B196" s="615"/>
      <c r="C196" s="521"/>
      <c r="D196" s="614">
        <f t="shared" si="46"/>
        <v>0</v>
      </c>
      <c r="E196" s="318" t="str">
        <f>VLOOKUP("[Stk]",Sprachindex!$A:$Z,Haftungsausschluß!$O$6,FALSE)</f>
        <v>[Stk]</v>
      </c>
      <c r="F196" s="318" t="str">
        <f>IF($L$14=1,Preisliste!$E$155,Preisliste!$F$155)</f>
        <v>H002010</v>
      </c>
      <c r="G196" s="988" t="str">
        <f>VLOOKUP("Lagerabdeckung (Mittelteil)",Sprachindex!$A:$Z,Haftungsausschluß!$O$6,FALSE) &amp; IF('Kalkulation 1'!AH36," " &amp; H3,"")</f>
        <v>Lagerabdeckung (Mittelteil)</v>
      </c>
      <c r="H196" s="989"/>
      <c r="I196" s="989"/>
      <c r="J196" s="989"/>
      <c r="K196" s="989"/>
      <c r="L196" s="989"/>
      <c r="M196" s="990"/>
      <c r="N196" s="519"/>
      <c r="O196" s="518">
        <f t="shared" si="51"/>
        <v>0</v>
      </c>
      <c r="P196" s="324"/>
      <c r="Q196" s="315"/>
      <c r="R196" s="327"/>
      <c r="S196" s="310"/>
      <c r="T196" s="310"/>
      <c r="U196" s="310"/>
      <c r="V196" s="310"/>
      <c r="W196" s="310"/>
      <c r="X196" s="310"/>
      <c r="Y196" s="310"/>
      <c r="Z196" s="310"/>
      <c r="AA196" s="310"/>
      <c r="AB196" s="310"/>
      <c r="AC196" s="310"/>
      <c r="AD196" s="310"/>
      <c r="AE196" s="310"/>
      <c r="AF196" s="310"/>
      <c r="AG196" s="310"/>
      <c r="AH196" s="310"/>
      <c r="AI196" s="310"/>
    </row>
    <row r="197" spans="1:36" ht="32.1" customHeight="1">
      <c r="B197" s="524"/>
      <c r="C197" s="523"/>
      <c r="D197" s="523">
        <f t="shared" ref="D197:D198" si="52">B197</f>
        <v>0</v>
      </c>
      <c r="E197" s="318" t="str">
        <f>VLOOKUP("[lfm]",Sprachindex!$A:$Z,Haftungsausschluß!$O$6,FALSE)</f>
        <v>[lfm]</v>
      </c>
      <c r="F197" s="318" t="str">
        <f>IF($L$14=1,Preisliste!$E$113,Preisliste!$F$113)</f>
        <v>H001083</v>
      </c>
      <c r="G197" s="988" t="str">
        <f>VLOOKUP("Dauerbodendichtung 25",Sprachindex!$A:$Z,Haftungsausschluß!$O$6,FALSE)</f>
        <v>Dauerbodendichtung 25</v>
      </c>
      <c r="H197" s="989"/>
      <c r="I197" s="989"/>
      <c r="J197" s="989"/>
      <c r="K197" s="989"/>
      <c r="L197" s="989"/>
      <c r="M197" s="990"/>
      <c r="N197" s="519"/>
      <c r="O197" s="518">
        <f t="shared" si="51"/>
        <v>0</v>
      </c>
      <c r="P197" s="324"/>
      <c r="Q197" s="325"/>
      <c r="R197" s="323"/>
      <c r="S197" s="310"/>
      <c r="T197" s="310"/>
      <c r="U197" s="310"/>
      <c r="V197" s="310"/>
      <c r="W197" s="310"/>
      <c r="X197" s="310"/>
      <c r="Y197" s="310"/>
      <c r="Z197" s="310"/>
      <c r="AA197" s="310"/>
      <c r="AB197" s="310"/>
      <c r="AC197" s="310"/>
      <c r="AD197" s="310"/>
      <c r="AE197" s="310"/>
      <c r="AF197" s="310"/>
      <c r="AG197" s="310"/>
      <c r="AH197" s="310"/>
      <c r="AI197" s="310"/>
    </row>
    <row r="198" spans="1:36" ht="32.1" customHeight="1">
      <c r="B198" s="615"/>
      <c r="C198" s="521"/>
      <c r="D198" s="614">
        <f t="shared" si="52"/>
        <v>0</v>
      </c>
      <c r="E198" s="318" t="str">
        <f>VLOOKUP("[Stk]",Sprachindex!$A:$Z,Haftungsausschluß!$O$6,FALSE)</f>
        <v>[Stk]</v>
      </c>
      <c r="F198" s="318" t="str">
        <f>IF($L$14=1,Preisliste!$E$156,Preisliste!$F$156)</f>
        <v>H002011</v>
      </c>
      <c r="G198" s="988" t="str">
        <f>VLOOKUP("Lagerabdeckung (Seitenteil)",Sprachindex!$A:$Z,Haftungsausschluß!$O$6,FALSE) &amp; IF('Kalkulation 1'!AH36," " &amp; H3,"")</f>
        <v>Lagerabdeckung (Seitenteil)</v>
      </c>
      <c r="H198" s="989"/>
      <c r="I198" s="989"/>
      <c r="J198" s="989"/>
      <c r="K198" s="989"/>
      <c r="L198" s="989"/>
      <c r="M198" s="990"/>
      <c r="N198" s="557"/>
      <c r="O198" s="518">
        <f t="shared" si="51"/>
        <v>0</v>
      </c>
      <c r="P198" s="324"/>
      <c r="Q198" s="325"/>
      <c r="R198" s="323"/>
      <c r="S198" s="310"/>
      <c r="T198" s="310"/>
      <c r="U198" s="310"/>
      <c r="V198" s="310"/>
      <c r="W198" s="310"/>
      <c r="X198" s="310"/>
      <c r="Y198" s="310"/>
      <c r="Z198" s="310"/>
      <c r="AA198" s="310"/>
      <c r="AB198" s="310"/>
      <c r="AC198" s="310"/>
      <c r="AD198" s="310"/>
      <c r="AE198" s="310"/>
      <c r="AF198" s="310"/>
      <c r="AG198" s="310"/>
      <c r="AH198" s="310"/>
      <c r="AI198" s="310"/>
    </row>
    <row r="199" spans="1:36" ht="32.1" customHeight="1">
      <c r="B199" s="615"/>
      <c r="C199" s="523"/>
      <c r="D199" s="614">
        <f t="shared" si="46"/>
        <v>0</v>
      </c>
      <c r="E199" s="318" t="str">
        <f>VLOOKUP("[Stk]",Sprachindex!$A:$Z,Haftungsausschluß!$O$6,FALSE)</f>
        <v>[Stk]</v>
      </c>
      <c r="F199" s="318" t="str">
        <f>IF($L$14=1,Preisliste!$E$162,Preisliste!$F$162)</f>
        <v>H001101</v>
      </c>
      <c r="G199" s="988" t="e">
        <f>VLOOKUP("Hebehilfe",Sprachindex!$A:$Z,Haftungsausschluß!$O$6,FALSE)</f>
        <v>#N/A</v>
      </c>
      <c r="H199" s="989"/>
      <c r="I199" s="989"/>
      <c r="J199" s="989"/>
      <c r="K199" s="989"/>
      <c r="L199" s="989"/>
      <c r="M199" s="990"/>
      <c r="N199" s="519"/>
      <c r="O199" s="518">
        <f t="shared" ref="O199" si="53">N199*D199</f>
        <v>0</v>
      </c>
      <c r="P199" s="324"/>
      <c r="Q199" s="315"/>
      <c r="R199" s="323"/>
      <c r="S199" s="310"/>
      <c r="T199" s="310"/>
      <c r="U199" s="310"/>
      <c r="V199" s="310"/>
      <c r="W199" s="310"/>
      <c r="X199" s="310"/>
      <c r="Y199" s="310"/>
      <c r="Z199" s="310"/>
      <c r="AA199" s="310"/>
      <c r="AB199" s="310"/>
      <c r="AC199" s="310"/>
      <c r="AD199" s="310"/>
      <c r="AE199" s="310"/>
      <c r="AF199" s="310"/>
      <c r="AG199" s="310"/>
      <c r="AH199" s="310"/>
      <c r="AI199" s="310"/>
    </row>
    <row r="200" spans="1:36" ht="32.1" customHeight="1">
      <c r="B200" s="615"/>
      <c r="C200" s="523"/>
      <c r="D200" s="614">
        <f t="shared" si="46"/>
        <v>0</v>
      </c>
      <c r="E200" s="318" t="str">
        <f>VLOOKUP("[Stk]",Sprachindex!$A:$Z,Haftungsausschluß!$O$6,FALSE)</f>
        <v>[Stk]</v>
      </c>
      <c r="F200" s="318" t="str">
        <f>IF($L$14=1,Preisliste!$E$165,Preisliste!$F$165)</f>
        <v>-</v>
      </c>
      <c r="G200" s="994" t="str">
        <f>VLOOKUP("Aufpreis Ausfräsung Wandprofil für Dammbalken",Sprachindex!$A:$Z,Haftungsausschluß!$O$6,FALSE)</f>
        <v>Aufpreis Ausfräsung Wandprofil für Dammbalken</v>
      </c>
      <c r="H200" s="994"/>
      <c r="I200" s="994"/>
      <c r="J200" s="994"/>
      <c r="K200" s="994"/>
      <c r="L200" s="994"/>
      <c r="M200" s="994"/>
      <c r="N200" s="557"/>
      <c r="O200" s="643">
        <f t="shared" ref="O200" si="54">N200*D200</f>
        <v>0</v>
      </c>
      <c r="P200" s="324"/>
      <c r="Q200" s="315"/>
      <c r="R200" s="323"/>
      <c r="S200" s="310"/>
      <c r="T200" s="310"/>
      <c r="U200" s="310"/>
      <c r="V200" s="310"/>
      <c r="W200" s="310"/>
      <c r="X200" s="310"/>
      <c r="Y200" s="310"/>
      <c r="Z200" s="310"/>
      <c r="AA200" s="310"/>
      <c r="AB200" s="310"/>
      <c r="AC200" s="310"/>
      <c r="AD200" s="310"/>
      <c r="AE200" s="310"/>
      <c r="AF200" s="310"/>
      <c r="AG200" s="310"/>
      <c r="AH200" s="310"/>
      <c r="AI200" s="310"/>
    </row>
    <row r="201" spans="1:36" ht="32.1" customHeight="1">
      <c r="B201" s="615"/>
      <c r="C201" s="523"/>
      <c r="D201" s="614">
        <f t="shared" si="46"/>
        <v>0</v>
      </c>
      <c r="E201" s="318" t="str">
        <f>VLOOKUP("[Stk]",Sprachindex!$A:$Z,Haftungsausschluß!$O$6,FALSE)</f>
        <v>[Stk]</v>
      </c>
      <c r="F201" s="318" t="str">
        <f>IF($L$14=1,Preisliste!$E$166,Preisliste!$F$166)</f>
        <v>-</v>
      </c>
      <c r="G201" s="994" t="str">
        <f>VLOOKUP("Aufpreis Längenänderung Wandprofil",Sprachindex!$A:$Z,Haftungsausschluß!$O$6,FALSE)</f>
        <v>Aufpreis Längenänderung Wandprofil</v>
      </c>
      <c r="H201" s="994"/>
      <c r="I201" s="994"/>
      <c r="J201" s="994"/>
      <c r="K201" s="994"/>
      <c r="L201" s="994"/>
      <c r="M201" s="994"/>
      <c r="N201" s="557"/>
      <c r="O201" s="643">
        <f t="shared" ref="O201" si="55">N201*D201</f>
        <v>0</v>
      </c>
      <c r="P201" s="324"/>
      <c r="Q201" s="315"/>
      <c r="R201" s="323"/>
      <c r="S201" s="310"/>
      <c r="T201" s="310"/>
      <c r="U201" s="310"/>
      <c r="V201" s="310"/>
      <c r="W201" s="310"/>
      <c r="X201" s="310"/>
      <c r="Y201" s="310"/>
      <c r="Z201" s="310"/>
      <c r="AA201" s="310"/>
      <c r="AB201" s="310"/>
      <c r="AC201" s="310"/>
      <c r="AD201" s="310"/>
      <c r="AE201" s="310"/>
      <c r="AF201" s="310"/>
      <c r="AG201" s="310"/>
      <c r="AH201" s="310"/>
      <c r="AI201" s="310"/>
    </row>
    <row r="202" spans="1:36" ht="32.1" customHeight="1">
      <c r="B202" s="615"/>
      <c r="C202" s="523"/>
      <c r="D202" s="614">
        <f t="shared" si="46"/>
        <v>0</v>
      </c>
      <c r="E202" s="318" t="str">
        <f>VLOOKUP("[Stk]",Sprachindex!$A:$Z,Haftungsausschluß!$O$6,FALSE)</f>
        <v>[Stk]</v>
      </c>
      <c r="F202" s="318" t="str">
        <f>IF($L$14=1,Preisliste!$E$167,Preisliste!$F$167)</f>
        <v>-</v>
      </c>
      <c r="G202" s="994" t="str">
        <f>VLOOKUP("Aufpreis Verankerung aufgeschweißt (a 300mm)",Sprachindex!$A:$Z,Haftungsausschluß!$O$6,FALSE)</f>
        <v>Aufpreis Verankerung aufgeschweißt (a 300mm)</v>
      </c>
      <c r="H202" s="994"/>
      <c r="I202" s="994"/>
      <c r="J202" s="994"/>
      <c r="K202" s="994"/>
      <c r="L202" s="994"/>
      <c r="M202" s="994"/>
      <c r="N202" s="557"/>
      <c r="O202" s="643">
        <f t="shared" ref="O202" si="56">N202*D202</f>
        <v>0</v>
      </c>
      <c r="P202" s="324"/>
      <c r="Q202" s="315"/>
      <c r="R202" s="323"/>
      <c r="S202" s="310"/>
      <c r="T202" s="310"/>
      <c r="U202" s="310"/>
      <c r="V202" s="310"/>
      <c r="W202" s="310"/>
      <c r="X202" s="310"/>
      <c r="Y202" s="310"/>
      <c r="Z202" s="310"/>
      <c r="AA202" s="310"/>
      <c r="AB202" s="310"/>
      <c r="AC202" s="310"/>
      <c r="AD202" s="310"/>
      <c r="AE202" s="310"/>
      <c r="AF202" s="310"/>
      <c r="AG202" s="310"/>
      <c r="AH202" s="310"/>
      <c r="AI202" s="310"/>
    </row>
    <row r="203" spans="1:36" s="533" customFormat="1" ht="32.1" customHeight="1">
      <c r="A203" s="288"/>
      <c r="B203" s="615"/>
      <c r="C203" s="523"/>
      <c r="D203" s="614">
        <v>1</v>
      </c>
      <c r="E203" s="318" t="str">
        <f>VLOOKUP("[Stk]",Sprachindex!$A:$Z,Haftungsausschluß!$O$6,FALSE)</f>
        <v>[Stk]</v>
      </c>
      <c r="F203" s="318" t="s">
        <v>3362</v>
      </c>
      <c r="G203" s="994" t="str">
        <f>VLOOKUP("Dammbalkenhaken",Sprachindex!$A:$Z,Haftungsausschluß!$O$6,FALSE)</f>
        <v>Dammbalkenhaken</v>
      </c>
      <c r="H203" s="994"/>
      <c r="I203" s="994"/>
      <c r="J203" s="994"/>
      <c r="K203" s="994"/>
      <c r="L203" s="994"/>
      <c r="M203" s="994"/>
      <c r="N203" s="654">
        <v>0</v>
      </c>
      <c r="O203" s="655">
        <f t="shared" ref="O203" si="57">N203*D203</f>
        <v>0</v>
      </c>
      <c r="P203" s="324"/>
      <c r="Q203" s="525"/>
      <c r="R203" s="526"/>
      <c r="S203" s="321"/>
      <c r="T203" s="321"/>
      <c r="U203" s="321"/>
      <c r="V203" s="321"/>
      <c r="W203" s="321"/>
      <c r="X203" s="321"/>
      <c r="Y203" s="321"/>
      <c r="Z203" s="321"/>
      <c r="AA203" s="321"/>
      <c r="AB203" s="321"/>
      <c r="AC203" s="321"/>
      <c r="AD203" s="321"/>
      <c r="AE203" s="321"/>
      <c r="AF203" s="321"/>
      <c r="AG203" s="321"/>
      <c r="AH203" s="321"/>
      <c r="AI203" s="321"/>
    </row>
    <row r="204" spans="1:36" ht="32.1" customHeight="1">
      <c r="B204" s="615"/>
      <c r="C204" s="523"/>
      <c r="D204" s="614">
        <f t="shared" si="46"/>
        <v>0</v>
      </c>
      <c r="E204" s="318" t="str">
        <f>VLOOKUP("[Stk]",Sprachindex!$A:$Z,Haftungsausschluß!$O$6,FALSE)</f>
        <v>[Stk]</v>
      </c>
      <c r="F204" s="318" t="str">
        <f>IF($L$14=1,Preisliste!$E$172,Preisliste!$F$172)</f>
        <v>H002050</v>
      </c>
      <c r="G204" s="994" t="str">
        <f>VLOOKUP("Dichtungsroller 25/50",Sprachindex!$A:$Z,Haftungsausschluß!$O$6,FALSE)</f>
        <v>Dichtungsroller 25/50</v>
      </c>
      <c r="H204" s="994"/>
      <c r="I204" s="994"/>
      <c r="J204" s="994"/>
      <c r="K204" s="994"/>
      <c r="L204" s="994"/>
      <c r="M204" s="994"/>
      <c r="N204" s="557"/>
      <c r="O204" s="643">
        <f t="shared" ref="O204" si="58">N204*D204</f>
        <v>0</v>
      </c>
      <c r="P204" s="324"/>
      <c r="Q204" s="315"/>
      <c r="R204" s="323"/>
      <c r="S204" s="328" t="s">
        <v>2748</v>
      </c>
      <c r="T204" s="328" t="s">
        <v>2747</v>
      </c>
      <c r="U204" s="328" t="s">
        <v>2746</v>
      </c>
      <c r="V204" s="328" t="s">
        <v>2745</v>
      </c>
      <c r="W204" s="328" t="s">
        <v>3012</v>
      </c>
      <c r="X204" s="328" t="s">
        <v>3013</v>
      </c>
      <c r="Y204" s="328" t="s">
        <v>3014</v>
      </c>
      <c r="Z204" s="328" t="s">
        <v>3015</v>
      </c>
      <c r="AA204" s="328" t="s">
        <v>3016</v>
      </c>
      <c r="AB204" s="328" t="s">
        <v>3017</v>
      </c>
      <c r="AC204" s="328" t="s">
        <v>3018</v>
      </c>
      <c r="AD204" s="328" t="s">
        <v>3019</v>
      </c>
      <c r="AE204" s="328" t="s">
        <v>3020</v>
      </c>
      <c r="AF204" s="328" t="s">
        <v>3021</v>
      </c>
      <c r="AG204" s="328" t="s">
        <v>3022</v>
      </c>
      <c r="AH204" s="328" t="s">
        <v>3023</v>
      </c>
      <c r="AI204" s="328" t="s">
        <v>1619</v>
      </c>
    </row>
    <row r="205" spans="1:36" s="533" customFormat="1" ht="32.1" customHeight="1">
      <c r="A205" s="288"/>
      <c r="B205" s="682"/>
      <c r="C205" s="683"/>
      <c r="D205" s="684"/>
      <c r="E205" s="685"/>
      <c r="F205" s="685"/>
      <c r="G205" s="972"/>
      <c r="H205" s="972"/>
      <c r="I205" s="972"/>
      <c r="J205" s="972"/>
      <c r="K205" s="972"/>
      <c r="L205" s="972"/>
      <c r="M205" s="972"/>
      <c r="N205" s="686"/>
      <c r="O205" s="687"/>
      <c r="P205" s="681"/>
      <c r="Q205" s="525"/>
      <c r="R205" s="526"/>
      <c r="S205" s="544"/>
      <c r="T205" s="544"/>
      <c r="U205" s="545"/>
      <c r="V205" s="545"/>
      <c r="W205" s="545"/>
      <c r="X205" s="545"/>
      <c r="Y205" s="545"/>
      <c r="Z205" s="545"/>
      <c r="AA205" s="545"/>
      <c r="AB205" s="545"/>
      <c r="AC205" s="545"/>
      <c r="AD205" s="545"/>
      <c r="AE205" s="545"/>
      <c r="AF205" s="545"/>
      <c r="AG205" s="545"/>
      <c r="AH205" s="546">
        <v>0</v>
      </c>
      <c r="AI205" s="546">
        <v>0</v>
      </c>
      <c r="AJ205" s="714">
        <f>IF(Q5=2,Q6,0)</f>
        <v>0</v>
      </c>
    </row>
    <row r="206" spans="1:36" ht="32.1" customHeight="1">
      <c r="B206" s="615"/>
      <c r="C206" s="523"/>
      <c r="D206" s="614">
        <f t="shared" si="46"/>
        <v>0</v>
      </c>
      <c r="E206" s="318" t="str">
        <f>VLOOKUP("[EH]",Sprachindex!$A:$Z,Haftungsausschluß!$O$6,FALSE)</f>
        <v>[EH]</v>
      </c>
      <c r="F206" s="318" t="str">
        <f>IF($L$14=1,Preisliste!$E$169,Preisliste!$F$169)</f>
        <v>-</v>
      </c>
      <c r="G206" s="994" t="str">
        <f>VLOOKUP("Aufpreis Planungsstunde",Sprachindex!$A:$Z,Haftungsausschluß!$O$6,FALSE)</f>
        <v>Aufpreis Planungsstunde</v>
      </c>
      <c r="H206" s="994"/>
      <c r="I206" s="994"/>
      <c r="J206" s="994"/>
      <c r="K206" s="994"/>
      <c r="L206" s="994"/>
      <c r="M206" s="994"/>
      <c r="N206" s="557"/>
      <c r="O206" s="643">
        <f t="shared" ref="O206:O207" si="59">N206*D206</f>
        <v>0</v>
      </c>
      <c r="P206" s="324"/>
      <c r="Q206" s="315"/>
      <c r="R206" s="323"/>
      <c r="S206" s="427"/>
      <c r="T206" s="427"/>
      <c r="U206" s="427"/>
      <c r="V206" s="427"/>
      <c r="W206" s="427"/>
      <c r="X206" s="427"/>
      <c r="Y206" s="427"/>
      <c r="Z206" s="427"/>
      <c r="AA206" s="427"/>
      <c r="AB206" s="427"/>
      <c r="AC206" s="427"/>
      <c r="AD206" s="427"/>
      <c r="AE206" s="427"/>
      <c r="AF206" s="427"/>
      <c r="AG206" s="427"/>
      <c r="AH206" s="427"/>
      <c r="AI206" s="428"/>
    </row>
    <row r="207" spans="1:36" ht="32.1" customHeight="1">
      <c r="B207" s="615"/>
      <c r="C207" s="523"/>
      <c r="D207" s="614">
        <f t="shared" ref="D207" si="60">B207</f>
        <v>0</v>
      </c>
      <c r="E207" s="318" t="str">
        <f>VLOOKUP("[Stk]",Sprachindex!$A:$Z,Haftungsausschluß!$O$6,FALSE)</f>
        <v>[Stk]</v>
      </c>
      <c r="F207" s="318" t="str">
        <f>IF($L$14=1,Preisliste!$E$173,Preisliste!$F$173)</f>
        <v>H002051</v>
      </c>
      <c r="G207" s="994" t="str">
        <f>VLOOKUP("Dichtungsroller 80",Sprachindex!$A:$Z,Haftungsausschluß!$O$6,FALSE)</f>
        <v>Dichtungsroller 80</v>
      </c>
      <c r="H207" s="994"/>
      <c r="I207" s="994"/>
      <c r="J207" s="994"/>
      <c r="K207" s="994"/>
      <c r="L207" s="994"/>
      <c r="M207" s="994"/>
      <c r="N207" s="557"/>
      <c r="O207" s="643">
        <f t="shared" si="59"/>
        <v>0</v>
      </c>
      <c r="P207" s="324"/>
      <c r="Q207" s="315"/>
      <c r="R207" s="323"/>
      <c r="S207" s="427"/>
      <c r="T207" s="427"/>
      <c r="U207" s="427"/>
      <c r="V207" s="427"/>
      <c r="W207" s="427"/>
      <c r="X207" s="427"/>
      <c r="Y207" s="427"/>
      <c r="Z207" s="427"/>
      <c r="AA207" s="427"/>
      <c r="AB207" s="427"/>
      <c r="AC207" s="427"/>
      <c r="AD207" s="427"/>
      <c r="AE207" s="427"/>
      <c r="AF207" s="427"/>
      <c r="AG207" s="427"/>
      <c r="AH207" s="427"/>
      <c r="AI207" s="428"/>
    </row>
    <row r="208" spans="1:36" ht="32.1" customHeight="1">
      <c r="B208" s="615"/>
      <c r="C208" s="523"/>
      <c r="D208" s="614">
        <f t="shared" ref="D208:D209" si="61">B208</f>
        <v>0</v>
      </c>
      <c r="E208" s="318" t="str">
        <f>VLOOKUP("Pa",Sprachindex!$A:$Z,Haftungsausschluß!$O$6,FALSE)</f>
        <v>Pa</v>
      </c>
      <c r="F208" s="318"/>
      <c r="G208" s="994" t="str">
        <f>VLOOKUP("Montagematerial",Sprachindex!$A:$Z,Haftungsausschluß!$O$6,FALSE)</f>
        <v>Montagematerial</v>
      </c>
      <c r="H208" s="994"/>
      <c r="I208" s="994"/>
      <c r="J208" s="994"/>
      <c r="K208" s="994"/>
      <c r="L208" s="994"/>
      <c r="M208" s="994"/>
      <c r="N208" s="557"/>
      <c r="O208" s="643">
        <f t="shared" ref="O208" si="62">N208*D208</f>
        <v>0</v>
      </c>
      <c r="P208" s="324"/>
      <c r="Q208" s="315"/>
      <c r="R208" s="323"/>
      <c r="S208" s="427"/>
      <c r="T208" s="427"/>
      <c r="U208" s="427"/>
      <c r="V208" s="427"/>
      <c r="W208" s="427"/>
      <c r="X208" s="427"/>
      <c r="Y208" s="427"/>
      <c r="Z208" s="427"/>
      <c r="AA208" s="427"/>
      <c r="AB208" s="427"/>
      <c r="AC208" s="427"/>
      <c r="AD208" s="427"/>
      <c r="AE208" s="427"/>
      <c r="AF208" s="427"/>
      <c r="AG208" s="427"/>
      <c r="AH208" s="427"/>
      <c r="AI208" s="428"/>
    </row>
    <row r="209" spans="2:35" ht="32.1" customHeight="1">
      <c r="B209" s="615"/>
      <c r="C209" s="523"/>
      <c r="D209" s="614">
        <f t="shared" si="61"/>
        <v>0</v>
      </c>
      <c r="E209" s="318" t="str">
        <f>VLOOKUP("Pa",Sprachindex!$A:$Z,Haftungsausschluß!$O$6,FALSE)</f>
        <v>Pa</v>
      </c>
      <c r="F209" s="318"/>
      <c r="G209" s="994" t="str">
        <f>VLOOKUP("Montage",Sprachindex!$A:$Z,Haftungsausschluß!$O$6,FALSE)</f>
        <v>Montage</v>
      </c>
      <c r="H209" s="994"/>
      <c r="I209" s="994"/>
      <c r="J209" s="994"/>
      <c r="K209" s="994"/>
      <c r="L209" s="994"/>
      <c r="M209" s="994"/>
      <c r="N209" s="557"/>
      <c r="O209" s="643">
        <f>N209*D209</f>
        <v>0</v>
      </c>
      <c r="P209" s="324"/>
      <c r="Q209" s="315"/>
      <c r="R209" s="323"/>
      <c r="S209" s="427"/>
      <c r="T209" s="427"/>
      <c r="U209" s="427"/>
      <c r="V209" s="427"/>
      <c r="W209" s="427"/>
      <c r="X209" s="427"/>
      <c r="Y209" s="427"/>
      <c r="Z209" s="427"/>
      <c r="AA209" s="427"/>
      <c r="AB209" s="427"/>
      <c r="AC209" s="427"/>
      <c r="AD209" s="427"/>
      <c r="AE209" s="427"/>
      <c r="AF209" s="427"/>
      <c r="AG209" s="427"/>
      <c r="AH209" s="427"/>
      <c r="AI209" s="428"/>
    </row>
    <row r="210" spans="2:35" ht="32.1" customHeight="1">
      <c r="B210" s="663"/>
      <c r="C210" s="664"/>
      <c r="D210" s="665">
        <f t="shared" ref="D210" si="63">B210</f>
        <v>0</v>
      </c>
      <c r="E210" s="329" t="str">
        <f>VLOOKUP("Pa",Sprachindex!$A:$Z,Haftungsausschluß!$O$6,FALSE)</f>
        <v>Pa</v>
      </c>
      <c r="F210" s="329"/>
      <c r="G210" s="995" t="str">
        <f>VLOOKUP("Fahrtkosten",Sprachindex!$A:$Z,Haftungsausschluß!$O$6,FALSE)</f>
        <v>Fahrtkosten</v>
      </c>
      <c r="H210" s="995"/>
      <c r="I210" s="995"/>
      <c r="J210" s="995"/>
      <c r="K210" s="995"/>
      <c r="L210" s="995"/>
      <c r="M210" s="995"/>
      <c r="N210" s="666"/>
      <c r="O210" s="667">
        <f t="shared" ref="O210" si="64">N210*D210</f>
        <v>0</v>
      </c>
      <c r="P210" s="324"/>
      <c r="Q210" s="315"/>
      <c r="R210" s="323"/>
      <c r="S210" s="427"/>
      <c r="T210" s="427"/>
      <c r="U210" s="427"/>
      <c r="V210" s="427"/>
      <c r="W210" s="427"/>
      <c r="X210" s="427"/>
      <c r="Y210" s="427"/>
      <c r="Z210" s="427"/>
      <c r="AA210" s="427"/>
      <c r="AB210" s="427"/>
      <c r="AC210" s="427"/>
      <c r="AD210" s="427"/>
      <c r="AE210" s="427"/>
      <c r="AF210" s="427"/>
      <c r="AG210" s="427"/>
      <c r="AH210" s="427"/>
      <c r="AI210" s="428"/>
    </row>
    <row r="211" spans="2:35" ht="32.1" customHeight="1">
      <c r="B211" s="682"/>
      <c r="C211" s="683"/>
      <c r="D211" s="684"/>
      <c r="E211" s="685"/>
      <c r="F211" s="685"/>
      <c r="G211" s="972"/>
      <c r="H211" s="972"/>
      <c r="I211" s="972"/>
      <c r="J211" s="972"/>
      <c r="K211" s="972"/>
      <c r="L211" s="972"/>
      <c r="M211" s="972"/>
      <c r="N211" s="686"/>
      <c r="O211" s="687"/>
      <c r="P211" s="324"/>
      <c r="Q211" s="657"/>
      <c r="R211" s="323"/>
      <c r="S211" s="427"/>
      <c r="T211" s="427"/>
      <c r="U211" s="427"/>
      <c r="V211" s="427"/>
      <c r="W211" s="427"/>
      <c r="X211" s="427"/>
      <c r="Y211" s="427"/>
      <c r="Z211" s="427"/>
      <c r="AA211" s="427"/>
      <c r="AB211" s="427"/>
      <c r="AC211" s="427"/>
      <c r="AD211" s="427"/>
      <c r="AE211" s="427"/>
      <c r="AF211" s="427"/>
      <c r="AG211" s="427"/>
      <c r="AH211" s="427"/>
      <c r="AI211" s="428"/>
    </row>
    <row r="212" spans="2:35" ht="32.1" customHeight="1">
      <c r="B212" s="615"/>
      <c r="C212" s="523"/>
      <c r="D212" s="614">
        <f t="shared" ref="D212:D266" si="65">B212</f>
        <v>0</v>
      </c>
      <c r="E212" s="318" t="str">
        <f>VLOOKUP("[Stk]",Sprachindex!$A:$Z,Haftungsausschluß!$O$6,FALSE)</f>
        <v>[Stk]</v>
      </c>
      <c r="F212" s="318" t="s">
        <v>3865</v>
      </c>
      <c r="G212" s="994" t="s">
        <v>3901</v>
      </c>
      <c r="H212" s="994"/>
      <c r="I212" s="994"/>
      <c r="J212" s="994"/>
      <c r="K212" s="994"/>
      <c r="L212" s="994"/>
      <c r="M212" s="994"/>
      <c r="N212" s="557"/>
      <c r="O212" s="643">
        <f t="shared" ref="O212:O266" si="66">N212*D212</f>
        <v>0</v>
      </c>
      <c r="P212" s="324"/>
      <c r="Q212" s="657"/>
      <c r="R212" s="323"/>
      <c r="S212" s="427"/>
      <c r="T212" s="427"/>
      <c r="U212" s="427"/>
      <c r="V212" s="427"/>
      <c r="W212" s="427"/>
      <c r="X212" s="427"/>
      <c r="Y212" s="427"/>
      <c r="Z212" s="427"/>
      <c r="AA212" s="427"/>
      <c r="AB212" s="427"/>
      <c r="AC212" s="427"/>
      <c r="AD212" s="427"/>
      <c r="AE212" s="427"/>
      <c r="AF212" s="427"/>
      <c r="AG212" s="427"/>
      <c r="AH212" s="427"/>
      <c r="AI212" s="428"/>
    </row>
    <row r="213" spans="2:35" ht="32.1" customHeight="1">
      <c r="B213" s="615"/>
      <c r="C213" s="523"/>
      <c r="D213" s="614">
        <f t="shared" si="65"/>
        <v>0</v>
      </c>
      <c r="E213" s="318" t="str">
        <f>VLOOKUP("[Stk]",Sprachindex!$A:$Z,Haftungsausschluß!$O$6,FALSE)</f>
        <v>[Stk]</v>
      </c>
      <c r="F213" s="318" t="s">
        <v>3866</v>
      </c>
      <c r="G213" s="994" t="s">
        <v>3902</v>
      </c>
      <c r="H213" s="994"/>
      <c r="I213" s="994"/>
      <c r="J213" s="994"/>
      <c r="K213" s="994"/>
      <c r="L213" s="994"/>
      <c r="M213" s="994"/>
      <c r="N213" s="557"/>
      <c r="O213" s="643">
        <f t="shared" si="66"/>
        <v>0</v>
      </c>
      <c r="P213" s="324"/>
      <c r="Q213" s="657"/>
      <c r="R213" s="323"/>
      <c r="S213" s="427"/>
      <c r="T213" s="427"/>
      <c r="U213" s="427"/>
      <c r="V213" s="427"/>
      <c r="W213" s="427"/>
      <c r="X213" s="427"/>
      <c r="Y213" s="427"/>
      <c r="Z213" s="427"/>
      <c r="AA213" s="427"/>
      <c r="AB213" s="427"/>
      <c r="AC213" s="427"/>
      <c r="AD213" s="427"/>
      <c r="AE213" s="427"/>
      <c r="AF213" s="427"/>
      <c r="AG213" s="427"/>
      <c r="AH213" s="427"/>
      <c r="AI213" s="428"/>
    </row>
    <row r="214" spans="2:35" ht="32.1" customHeight="1">
      <c r="B214" s="615"/>
      <c r="C214" s="664">
        <v>1750</v>
      </c>
      <c r="D214" s="614">
        <f t="shared" si="65"/>
        <v>0</v>
      </c>
      <c r="E214" s="318" t="str">
        <f>VLOOKUP("[Stk]",Sprachindex!$A:$Z,Haftungsausschluß!$O$6,FALSE)</f>
        <v>[Stk]</v>
      </c>
      <c r="F214" s="318" t="str">
        <f>IF($L$14=1,Preisliste!$E$186,Preisliste!$F$186)</f>
        <v>H251022</v>
      </c>
      <c r="G214" s="994" t="str">
        <f>VLOOKUP("U-Profil 25 exkl. Dichtung, gebohrt und entgratet",Sprachindex!$A:$Z,Haftungsausschluß!$O$6,FALSE) &amp; IF('Kalkulation 1'!AH152," " &amp; 'Kalkulation 1'!R127,"")</f>
        <v>U-Profil 25 exkl. Dichtung, gebohrt und entgratet</v>
      </c>
      <c r="H214" s="994"/>
      <c r="I214" s="994"/>
      <c r="J214" s="994"/>
      <c r="K214" s="994"/>
      <c r="L214" s="994"/>
      <c r="M214" s="994"/>
      <c r="N214" s="557"/>
      <c r="O214" s="643">
        <f t="shared" si="66"/>
        <v>0</v>
      </c>
      <c r="P214" s="324"/>
      <c r="Q214" s="657"/>
      <c r="R214" s="323"/>
      <c r="S214" s="427"/>
      <c r="T214" s="427"/>
      <c r="U214" s="427"/>
      <c r="V214" s="427"/>
      <c r="W214" s="427"/>
      <c r="X214" s="427"/>
      <c r="Y214" s="427"/>
      <c r="Z214" s="427"/>
      <c r="AA214" s="427"/>
      <c r="AB214" s="427"/>
      <c r="AC214" s="427"/>
      <c r="AD214" s="427"/>
      <c r="AE214" s="427"/>
      <c r="AF214" s="427"/>
      <c r="AG214" s="427"/>
      <c r="AH214" s="427"/>
      <c r="AI214" s="428"/>
    </row>
    <row r="215" spans="2:35" ht="32.1" customHeight="1">
      <c r="B215" s="615"/>
      <c r="C215" s="664">
        <v>2150</v>
      </c>
      <c r="D215" s="614">
        <f t="shared" si="65"/>
        <v>0</v>
      </c>
      <c r="E215" s="318" t="str">
        <f>VLOOKUP("[Stk]",Sprachindex!$A:$Z,Haftungsausschluß!$O$6,FALSE)</f>
        <v>[Stk]</v>
      </c>
      <c r="F215" s="318" t="str">
        <f>IF($L$14=1,Preisliste!$E$187,Preisliste!$F$187)</f>
        <v>H251023</v>
      </c>
      <c r="G215" s="994" t="str">
        <f>VLOOKUP("U-Profil 25 exkl. Dichtung, gebohrt und entgratet",Sprachindex!$A:$Z,Haftungsausschluß!$O$6,FALSE) &amp; IF('Kalkulation 1'!AH152," " &amp; 'Kalkulation 1'!R127,"")</f>
        <v>U-Profil 25 exkl. Dichtung, gebohrt und entgratet</v>
      </c>
      <c r="H215" s="994"/>
      <c r="I215" s="994"/>
      <c r="J215" s="994"/>
      <c r="K215" s="994"/>
      <c r="L215" s="994"/>
      <c r="M215" s="994"/>
      <c r="N215" s="557"/>
      <c r="O215" s="643">
        <f t="shared" si="66"/>
        <v>0</v>
      </c>
      <c r="P215" s="324"/>
      <c r="Q215" s="657"/>
      <c r="R215" s="323"/>
      <c r="S215" s="427"/>
      <c r="T215" s="427"/>
      <c r="U215" s="427"/>
      <c r="V215" s="427"/>
      <c r="W215" s="427"/>
      <c r="X215" s="427"/>
      <c r="Y215" s="427"/>
      <c r="Z215" s="427"/>
      <c r="AA215" s="427"/>
      <c r="AB215" s="427"/>
      <c r="AC215" s="427"/>
      <c r="AD215" s="427"/>
      <c r="AE215" s="427"/>
      <c r="AF215" s="427"/>
      <c r="AG215" s="427"/>
      <c r="AH215" s="427"/>
      <c r="AI215" s="428"/>
    </row>
    <row r="216" spans="2:35" ht="32.1" customHeight="1">
      <c r="B216" s="615"/>
      <c r="C216" s="664">
        <v>1750</v>
      </c>
      <c r="D216" s="614">
        <f t="shared" si="65"/>
        <v>0</v>
      </c>
      <c r="E216" s="318" t="str">
        <f>VLOOKUP("[Stk]",Sprachindex!$A:$Z,Haftungsausschluß!$O$6,FALSE)</f>
        <v>[Stk]</v>
      </c>
      <c r="F216" s="318" t="str">
        <f>IF($L$14=1,Preisliste!$E$190,Preisliste!$F$190)</f>
        <v>H251202</v>
      </c>
      <c r="G216" s="994" t="str">
        <f>VLOOKUP("Grundprofil 25 exkl. Dichtung, gebohrt und entgratet",Sprachindex!$A:$Z,Haftungsausschluß!$O$6,FALSE) &amp; IF('Kalkulation 1'!AH151," " &amp; 'Kalkulation 1'!R126,"")</f>
        <v>Grundprofil 25 exkl. Dichtung, gebohrt und entgratet</v>
      </c>
      <c r="H216" s="994"/>
      <c r="I216" s="994"/>
      <c r="J216" s="994"/>
      <c r="K216" s="994"/>
      <c r="L216" s="994"/>
      <c r="M216" s="994"/>
      <c r="N216" s="557"/>
      <c r="O216" s="643">
        <f t="shared" si="66"/>
        <v>0</v>
      </c>
      <c r="P216" s="324"/>
      <c r="Q216" s="657"/>
      <c r="R216" s="323"/>
      <c r="S216" s="427"/>
      <c r="T216" s="427"/>
      <c r="U216" s="427"/>
      <c r="V216" s="427"/>
      <c r="W216" s="427"/>
      <c r="X216" s="427"/>
      <c r="Y216" s="427"/>
      <c r="Z216" s="427"/>
      <c r="AA216" s="427"/>
      <c r="AB216" s="427"/>
      <c r="AC216" s="427"/>
      <c r="AD216" s="427"/>
      <c r="AE216" s="427"/>
      <c r="AF216" s="427"/>
      <c r="AG216" s="427"/>
      <c r="AH216" s="427"/>
      <c r="AI216" s="428"/>
    </row>
    <row r="217" spans="2:35" ht="32.1" customHeight="1">
      <c r="B217" s="615"/>
      <c r="C217" s="664">
        <v>2150</v>
      </c>
      <c r="D217" s="614">
        <f t="shared" si="65"/>
        <v>0</v>
      </c>
      <c r="E217" s="318" t="str">
        <f>VLOOKUP("[Stk]",Sprachindex!$A:$Z,Haftungsausschluß!$O$6,FALSE)</f>
        <v>[Stk]</v>
      </c>
      <c r="F217" s="318" t="str">
        <f>IF($L$14=1,Preisliste!$E$191,Preisliste!$F$191)</f>
        <v>H251203</v>
      </c>
      <c r="G217" s="994" t="str">
        <f>VLOOKUP("Grundprofil 25 exkl. Dichtung, gebohrt und entgratet",Sprachindex!$A:$Z,Haftungsausschluß!$O$6,FALSE) &amp; IF('Kalkulation 1'!AH151," " &amp; 'Kalkulation 1'!R126,"")</f>
        <v>Grundprofil 25 exkl. Dichtung, gebohrt und entgratet</v>
      </c>
      <c r="H217" s="994"/>
      <c r="I217" s="994"/>
      <c r="J217" s="994"/>
      <c r="K217" s="994"/>
      <c r="L217" s="994"/>
      <c r="M217" s="994"/>
      <c r="N217" s="557"/>
      <c r="O217" s="643">
        <f t="shared" si="66"/>
        <v>0</v>
      </c>
      <c r="P217" s="324"/>
      <c r="Q217" s="657"/>
      <c r="R217" s="323"/>
      <c r="S217" s="427"/>
      <c r="T217" s="427"/>
      <c r="U217" s="427"/>
      <c r="V217" s="427"/>
      <c r="W217" s="427"/>
      <c r="X217" s="427"/>
      <c r="Y217" s="427"/>
      <c r="Z217" s="427"/>
      <c r="AA217" s="427"/>
      <c r="AB217" s="427"/>
      <c r="AC217" s="427"/>
      <c r="AD217" s="427"/>
      <c r="AE217" s="427"/>
      <c r="AF217" s="427"/>
      <c r="AG217" s="427"/>
      <c r="AH217" s="427"/>
      <c r="AI217" s="428"/>
    </row>
    <row r="218" spans="2:35" ht="32.1" customHeight="1">
      <c r="B218" s="615"/>
      <c r="C218" s="664">
        <v>1750</v>
      </c>
      <c r="D218" s="614">
        <f t="shared" si="65"/>
        <v>0</v>
      </c>
      <c r="E218" s="318" t="str">
        <f>VLOOKUP("[Stk]",Sprachindex!$A:$Z,Haftungsausschluß!$O$6,FALSE)</f>
        <v>[Stk]</v>
      </c>
      <c r="F218" s="318" t="str">
        <f>IF($L$14=1,Preisliste!$E$182,Preisliste!$F$182)</f>
        <v>H251042</v>
      </c>
      <c r="G218" s="994" t="s">
        <v>3903</v>
      </c>
      <c r="H218" s="994"/>
      <c r="I218" s="994"/>
      <c r="J218" s="994"/>
      <c r="K218" s="994"/>
      <c r="L218" s="994"/>
      <c r="M218" s="994"/>
      <c r="N218" s="557"/>
      <c r="O218" s="643">
        <f t="shared" si="66"/>
        <v>0</v>
      </c>
      <c r="P218" s="324"/>
      <c r="Q218" s="657"/>
      <c r="R218" s="323"/>
      <c r="S218" s="427"/>
      <c r="T218" s="427"/>
      <c r="U218" s="427"/>
      <c r="V218" s="427"/>
      <c r="W218" s="427"/>
      <c r="X218" s="427"/>
      <c r="Y218" s="427"/>
      <c r="Z218" s="427"/>
      <c r="AA218" s="427"/>
      <c r="AB218" s="427"/>
      <c r="AC218" s="427"/>
      <c r="AD218" s="427"/>
      <c r="AE218" s="427"/>
      <c r="AF218" s="427"/>
      <c r="AG218" s="427"/>
      <c r="AH218" s="427"/>
      <c r="AI218" s="428"/>
    </row>
    <row r="219" spans="2:35" ht="32.1" customHeight="1">
      <c r="B219" s="615"/>
      <c r="C219" s="664">
        <v>2150</v>
      </c>
      <c r="D219" s="614">
        <f t="shared" si="65"/>
        <v>0</v>
      </c>
      <c r="E219" s="318" t="str">
        <f>VLOOKUP("[Stk]",Sprachindex!$A:$Z,Haftungsausschluß!$O$6,FALSE)</f>
        <v>[Stk]</v>
      </c>
      <c r="F219" s="318" t="str">
        <f>IF($L$14=1,Preisliste!$E$183,Preisliste!$F$183)</f>
        <v>H251043</v>
      </c>
      <c r="G219" s="994" t="s">
        <v>3904</v>
      </c>
      <c r="H219" s="994"/>
      <c r="I219" s="994"/>
      <c r="J219" s="994"/>
      <c r="K219" s="994"/>
      <c r="L219" s="994"/>
      <c r="M219" s="994"/>
      <c r="N219" s="557"/>
      <c r="O219" s="643">
        <f t="shared" si="66"/>
        <v>0</v>
      </c>
      <c r="P219" s="324"/>
      <c r="Q219" s="657"/>
      <c r="R219" s="323"/>
      <c r="S219" s="427"/>
      <c r="T219" s="427"/>
      <c r="U219" s="427"/>
      <c r="V219" s="427"/>
      <c r="W219" s="427"/>
      <c r="X219" s="427"/>
      <c r="Y219" s="427"/>
      <c r="Z219" s="427"/>
      <c r="AA219" s="427"/>
      <c r="AB219" s="427"/>
      <c r="AC219" s="427"/>
      <c r="AD219" s="427"/>
      <c r="AE219" s="427"/>
      <c r="AF219" s="427"/>
      <c r="AG219" s="427"/>
      <c r="AH219" s="427"/>
      <c r="AI219" s="428"/>
    </row>
    <row r="220" spans="2:35" ht="32.1" customHeight="1">
      <c r="B220" s="615"/>
      <c r="C220" s="664">
        <v>1750</v>
      </c>
      <c r="D220" s="614">
        <f t="shared" si="65"/>
        <v>0</v>
      </c>
      <c r="E220" s="318" t="str">
        <f>VLOOKUP("[Stk]",Sprachindex!$A:$Z,Haftungsausschluß!$O$6,FALSE)</f>
        <v>[Stk]</v>
      </c>
      <c r="F220" s="318" t="str">
        <f>IF($L$14=1,Preisliste!$E$178,Preisliste!$F$178)</f>
        <v>H251052</v>
      </c>
      <c r="G220" s="994" t="s">
        <v>3905</v>
      </c>
      <c r="H220" s="994"/>
      <c r="I220" s="994"/>
      <c r="J220" s="994"/>
      <c r="K220" s="994"/>
      <c r="L220" s="994"/>
      <c r="M220" s="994"/>
      <c r="N220" s="557"/>
      <c r="O220" s="643">
        <f t="shared" si="66"/>
        <v>0</v>
      </c>
      <c r="P220" s="324"/>
      <c r="Q220" s="657"/>
      <c r="R220" s="323"/>
      <c r="S220" s="427"/>
      <c r="T220" s="427"/>
      <c r="U220" s="427"/>
      <c r="V220" s="427"/>
      <c r="W220" s="427"/>
      <c r="X220" s="427"/>
      <c r="Y220" s="427"/>
      <c r="Z220" s="427"/>
      <c r="AA220" s="427"/>
      <c r="AB220" s="427"/>
      <c r="AC220" s="427"/>
      <c r="AD220" s="427"/>
      <c r="AE220" s="427"/>
      <c r="AF220" s="427"/>
      <c r="AG220" s="427"/>
      <c r="AH220" s="427"/>
      <c r="AI220" s="428"/>
    </row>
    <row r="221" spans="2:35" ht="32.1" customHeight="1">
      <c r="B221" s="615"/>
      <c r="C221" s="664">
        <v>2150</v>
      </c>
      <c r="D221" s="614">
        <f t="shared" si="65"/>
        <v>0</v>
      </c>
      <c r="E221" s="318" t="str">
        <f>VLOOKUP("[Stk]",Sprachindex!$A:$Z,Haftungsausschluß!$O$6,FALSE)</f>
        <v>[Stk]</v>
      </c>
      <c r="F221" s="318" t="str">
        <f>IF($L$14=1,Preisliste!$E$179,Preisliste!$F$179)</f>
        <v>H251043</v>
      </c>
      <c r="G221" s="994" t="s">
        <v>3906</v>
      </c>
      <c r="H221" s="994"/>
      <c r="I221" s="994"/>
      <c r="J221" s="994"/>
      <c r="K221" s="994"/>
      <c r="L221" s="994"/>
      <c r="M221" s="994"/>
      <c r="N221" s="557"/>
      <c r="O221" s="643">
        <f t="shared" si="66"/>
        <v>0</v>
      </c>
      <c r="P221" s="324"/>
      <c r="Q221" s="657"/>
      <c r="R221" s="323"/>
      <c r="S221" s="427"/>
      <c r="T221" s="427"/>
      <c r="U221" s="427"/>
      <c r="V221" s="427"/>
      <c r="W221" s="427"/>
      <c r="X221" s="427"/>
      <c r="Y221" s="427"/>
      <c r="Z221" s="427"/>
      <c r="AA221" s="427"/>
      <c r="AB221" s="427"/>
      <c r="AC221" s="427"/>
      <c r="AD221" s="427"/>
      <c r="AE221" s="427"/>
      <c r="AF221" s="427"/>
      <c r="AG221" s="427"/>
      <c r="AH221" s="427"/>
      <c r="AI221" s="428"/>
    </row>
    <row r="222" spans="2:35" ht="32.1" customHeight="1">
      <c r="B222" s="615"/>
      <c r="C222" s="664">
        <v>750</v>
      </c>
      <c r="D222" s="614">
        <f t="shared" si="65"/>
        <v>0</v>
      </c>
      <c r="E222" s="318" t="str">
        <f>VLOOKUP("[Stk]",Sprachindex!$A:$Z,Haftungsausschluß!$O$6,FALSE)</f>
        <v>[Stk]</v>
      </c>
      <c r="F222" s="318" t="str">
        <f>IF($L$14=1,Preisliste!$E200,Preisliste!$F200)</f>
        <v>H801610</v>
      </c>
      <c r="G222" s="988" t="str">
        <f>VLOOKUP("Steher VARIO 15° 80-750 mm (Anfertigung auf Bestellung)",Sprachindex!$A:$Z,Haftungsausschluß!$O$6,FALSE)</f>
        <v>Steher VARIO 15° 80-750 mm (Anfertigung auf Bestellung)</v>
      </c>
      <c r="H222" s="989"/>
      <c r="I222" s="989"/>
      <c r="J222" s="989"/>
      <c r="K222" s="989"/>
      <c r="L222" s="989"/>
      <c r="M222" s="990"/>
      <c r="N222" s="557"/>
      <c r="O222" s="643">
        <f t="shared" si="66"/>
        <v>0</v>
      </c>
      <c r="P222" s="324"/>
      <c r="Q222" s="657"/>
      <c r="R222" s="323"/>
      <c r="S222" s="427"/>
      <c r="T222" s="427"/>
      <c r="U222" s="427"/>
      <c r="V222" s="427"/>
      <c r="W222" s="427"/>
      <c r="X222" s="427"/>
      <c r="Y222" s="427"/>
      <c r="Z222" s="427"/>
      <c r="AA222" s="427"/>
      <c r="AB222" s="427"/>
      <c r="AC222" s="427"/>
      <c r="AD222" s="427"/>
      <c r="AE222" s="427"/>
      <c r="AF222" s="427"/>
      <c r="AG222" s="427"/>
      <c r="AH222" s="427"/>
      <c r="AI222" s="428"/>
    </row>
    <row r="223" spans="2:35" ht="32.1" customHeight="1">
      <c r="B223" s="615"/>
      <c r="C223" s="664">
        <v>1350</v>
      </c>
      <c r="D223" s="614">
        <f t="shared" si="65"/>
        <v>0</v>
      </c>
      <c r="E223" s="318" t="str">
        <f>VLOOKUP("[Stk]",Sprachindex!$A:$Z,Haftungsausschluß!$O$6,FALSE)</f>
        <v>[Stk]</v>
      </c>
      <c r="F223" s="318" t="str">
        <f>IF($L$14=1,Preisliste!$E201,Preisliste!$F201)</f>
        <v>H801611</v>
      </c>
      <c r="G223" s="988" t="str">
        <f>VLOOKUP("Steher VARIO 15° 80-1350 mm (Anfertigung auf Bestellung)",Sprachindex!$A:$Z,Haftungsausschluß!$O$6,FALSE)</f>
        <v>Steher VARIO 15° 80-1350 mm (Anfertigung auf Bestellung)</v>
      </c>
      <c r="H223" s="989"/>
      <c r="I223" s="989"/>
      <c r="J223" s="989"/>
      <c r="K223" s="989"/>
      <c r="L223" s="989"/>
      <c r="M223" s="990"/>
      <c r="N223" s="557"/>
      <c r="O223" s="643">
        <f t="shared" si="66"/>
        <v>0</v>
      </c>
      <c r="P223" s="324"/>
      <c r="Q223" s="657"/>
      <c r="R223" s="323"/>
      <c r="S223" s="427"/>
      <c r="T223" s="427"/>
      <c r="U223" s="427"/>
      <c r="V223" s="427"/>
      <c r="W223" s="427"/>
      <c r="X223" s="427"/>
      <c r="Y223" s="427"/>
      <c r="Z223" s="427"/>
      <c r="AA223" s="427"/>
      <c r="AB223" s="427"/>
      <c r="AC223" s="427"/>
      <c r="AD223" s="427"/>
      <c r="AE223" s="427"/>
      <c r="AF223" s="427"/>
      <c r="AG223" s="427"/>
      <c r="AH223" s="427"/>
      <c r="AI223" s="428"/>
    </row>
    <row r="224" spans="2:35" ht="32.1" customHeight="1">
      <c r="B224" s="615"/>
      <c r="C224" s="664">
        <v>1750</v>
      </c>
      <c r="D224" s="614">
        <f t="shared" si="65"/>
        <v>0</v>
      </c>
      <c r="E224" s="318" t="str">
        <f>VLOOKUP("[Stk]",Sprachindex!$A:$Z,Haftungsausschluß!$O$6,FALSE)</f>
        <v>[Stk]</v>
      </c>
      <c r="F224" s="318" t="str">
        <f>IF($L$14=1,Preisliste!$E202,Preisliste!$F202)</f>
        <v>H801612</v>
      </c>
      <c r="G224" s="988" t="str">
        <f>VLOOKUP("Steher VARIO 15° 80-1750 mm (Anfertigung auf Bestellung)",Sprachindex!$A:$Z,Haftungsausschluß!$O$6,FALSE)</f>
        <v>Steher VARIO 15° 80-1750 mm (Anfertigung auf Bestellung)</v>
      </c>
      <c r="H224" s="989"/>
      <c r="I224" s="989"/>
      <c r="J224" s="989"/>
      <c r="K224" s="989"/>
      <c r="L224" s="989"/>
      <c r="M224" s="990"/>
      <c r="N224" s="557"/>
      <c r="O224" s="643">
        <f t="shared" si="66"/>
        <v>0</v>
      </c>
      <c r="P224" s="324"/>
      <c r="Q224" s="657"/>
      <c r="R224" s="323"/>
      <c r="S224" s="427"/>
      <c r="T224" s="427"/>
      <c r="U224" s="427"/>
      <c r="V224" s="427"/>
      <c r="W224" s="427"/>
      <c r="X224" s="427"/>
      <c r="Y224" s="427"/>
      <c r="Z224" s="427"/>
      <c r="AA224" s="427"/>
      <c r="AB224" s="427"/>
      <c r="AC224" s="427"/>
      <c r="AD224" s="427"/>
      <c r="AE224" s="427"/>
      <c r="AF224" s="427"/>
      <c r="AG224" s="427"/>
      <c r="AH224" s="427"/>
      <c r="AI224" s="428"/>
    </row>
    <row r="225" spans="2:35" ht="32.1" customHeight="1">
      <c r="B225" s="615"/>
      <c r="C225" s="664">
        <v>2150</v>
      </c>
      <c r="D225" s="614">
        <f t="shared" si="65"/>
        <v>0</v>
      </c>
      <c r="E225" s="318" t="str">
        <f>VLOOKUP("[Stk]",Sprachindex!$A:$Z,Haftungsausschluß!$O$6,FALSE)</f>
        <v>[Stk]</v>
      </c>
      <c r="F225" s="318" t="str">
        <f>IF($L$14=1,Preisliste!$E203,Preisliste!$F203)</f>
        <v>H801613</v>
      </c>
      <c r="G225" s="988" t="str">
        <f>VLOOKUP("Steher VARIO 15° 80-2150 mm (Anfertigung auf Bestellung)",Sprachindex!$A:$Z,Haftungsausschluß!$O$6,FALSE)</f>
        <v>Steher VARIO 15° 80-2150 mm (Anfertigung auf Bestellung)</v>
      </c>
      <c r="H225" s="989"/>
      <c r="I225" s="989"/>
      <c r="J225" s="989"/>
      <c r="K225" s="989"/>
      <c r="L225" s="989"/>
      <c r="M225" s="990"/>
      <c r="N225" s="557"/>
      <c r="O225" s="643">
        <f t="shared" si="66"/>
        <v>0</v>
      </c>
      <c r="P225" s="324"/>
      <c r="Q225" s="657"/>
      <c r="R225" s="323"/>
      <c r="S225" s="427"/>
      <c r="T225" s="427"/>
      <c r="U225" s="427"/>
      <c r="V225" s="427"/>
      <c r="W225" s="427"/>
      <c r="X225" s="427"/>
      <c r="Y225" s="427"/>
      <c r="Z225" s="427"/>
      <c r="AA225" s="427"/>
      <c r="AB225" s="427"/>
      <c r="AC225" s="427"/>
      <c r="AD225" s="427"/>
      <c r="AE225" s="427"/>
      <c r="AF225" s="427"/>
      <c r="AG225" s="427"/>
      <c r="AH225" s="427"/>
      <c r="AI225" s="428"/>
    </row>
    <row r="226" spans="2:35" ht="32.1" customHeight="1">
      <c r="B226" s="615"/>
      <c r="C226" s="664">
        <v>750</v>
      </c>
      <c r="D226" s="614">
        <f t="shared" si="65"/>
        <v>0</v>
      </c>
      <c r="E226" s="318" t="str">
        <f>VLOOKUP("[Stk]",Sprachindex!$A:$Z,Haftungsausschluß!$O$6,FALSE)</f>
        <v>[Stk]</v>
      </c>
      <c r="F226" s="318" t="str">
        <f>IF($L$14=1,Preisliste!$E204,Preisliste!$F204)</f>
        <v>H801620</v>
      </c>
      <c r="G226" s="988" t="str">
        <f>VLOOKUP("Steher VARIO 30° 80-750 mm (Anfertigung auf Bestellung)",Sprachindex!$A:$Z,Haftungsausschluß!$O$6,FALSE)</f>
        <v>Steher VARIO 30° 80-750 mm (Anfertigung auf Bestellung)</v>
      </c>
      <c r="H226" s="989"/>
      <c r="I226" s="989"/>
      <c r="J226" s="989"/>
      <c r="K226" s="989"/>
      <c r="L226" s="989"/>
      <c r="M226" s="990"/>
      <c r="N226" s="557"/>
      <c r="O226" s="643">
        <f t="shared" si="66"/>
        <v>0</v>
      </c>
      <c r="P226" s="324"/>
      <c r="Q226" s="657"/>
      <c r="R226" s="323"/>
      <c r="S226" s="427"/>
      <c r="T226" s="427"/>
      <c r="U226" s="427"/>
      <c r="V226" s="427"/>
      <c r="W226" s="427"/>
      <c r="X226" s="427"/>
      <c r="Y226" s="427"/>
      <c r="Z226" s="427"/>
      <c r="AA226" s="427"/>
      <c r="AB226" s="427"/>
      <c r="AC226" s="427"/>
      <c r="AD226" s="427"/>
      <c r="AE226" s="427"/>
      <c r="AF226" s="427"/>
      <c r="AG226" s="427"/>
      <c r="AH226" s="427"/>
      <c r="AI226" s="428"/>
    </row>
    <row r="227" spans="2:35" ht="32.1" customHeight="1">
      <c r="B227" s="615"/>
      <c r="C227" s="664">
        <v>1350</v>
      </c>
      <c r="D227" s="614">
        <f t="shared" si="65"/>
        <v>0</v>
      </c>
      <c r="E227" s="318" t="str">
        <f>VLOOKUP("[Stk]",Sprachindex!$A:$Z,Haftungsausschluß!$O$6,FALSE)</f>
        <v>[Stk]</v>
      </c>
      <c r="F227" s="318" t="str">
        <f>IF($L$14=1,Preisliste!$E205,Preisliste!$F205)</f>
        <v>H801621</v>
      </c>
      <c r="G227" s="988" t="str">
        <f>VLOOKUP("Steher VARIO 30° 80-1350 mm (Anfertigung auf Bestellung)",Sprachindex!$A:$Z,Haftungsausschluß!$O$6,FALSE)</f>
        <v>Steher VARIO 30° 80-1350 mm (Anfertigung auf Bestellung)</v>
      </c>
      <c r="H227" s="989"/>
      <c r="I227" s="989"/>
      <c r="J227" s="989"/>
      <c r="K227" s="989"/>
      <c r="L227" s="989"/>
      <c r="M227" s="990"/>
      <c r="N227" s="557"/>
      <c r="O227" s="643">
        <f t="shared" si="66"/>
        <v>0</v>
      </c>
      <c r="P227" s="324"/>
      <c r="Q227" s="657"/>
      <c r="R227" s="323"/>
      <c r="S227" s="427"/>
      <c r="T227" s="427"/>
      <c r="U227" s="427"/>
      <c r="V227" s="427"/>
      <c r="W227" s="427"/>
      <c r="X227" s="427"/>
      <c r="Y227" s="427"/>
      <c r="Z227" s="427"/>
      <c r="AA227" s="427"/>
      <c r="AB227" s="427"/>
      <c r="AC227" s="427"/>
      <c r="AD227" s="427"/>
      <c r="AE227" s="427"/>
      <c r="AF227" s="427"/>
      <c r="AG227" s="427"/>
      <c r="AH227" s="427"/>
      <c r="AI227" s="428"/>
    </row>
    <row r="228" spans="2:35" ht="32.1" customHeight="1">
      <c r="B228" s="615"/>
      <c r="C228" s="664">
        <v>1750</v>
      </c>
      <c r="D228" s="614">
        <f t="shared" si="65"/>
        <v>0</v>
      </c>
      <c r="E228" s="318" t="str">
        <f>VLOOKUP("[Stk]",Sprachindex!$A:$Z,Haftungsausschluß!$O$6,FALSE)</f>
        <v>[Stk]</v>
      </c>
      <c r="F228" s="318" t="str">
        <f>IF($L$14=1,Preisliste!$E206,Preisliste!$F206)</f>
        <v>H801622</v>
      </c>
      <c r="G228" s="988" t="str">
        <f>VLOOKUP("Steher VARIO 30° 80-1750 mm (Anfertigung auf Bestellung)",Sprachindex!$A:$Z,Haftungsausschluß!$O$6,FALSE)</f>
        <v>Steher VARIO 30° 80-1750 mm (Anfertigung auf Bestellung)</v>
      </c>
      <c r="H228" s="989"/>
      <c r="I228" s="989"/>
      <c r="J228" s="989"/>
      <c r="K228" s="989"/>
      <c r="L228" s="989"/>
      <c r="M228" s="990"/>
      <c r="N228" s="557"/>
      <c r="O228" s="643">
        <f t="shared" si="66"/>
        <v>0</v>
      </c>
      <c r="P228" s="324"/>
      <c r="Q228" s="657"/>
      <c r="R228" s="323"/>
      <c r="S228" s="427"/>
      <c r="T228" s="427"/>
      <c r="U228" s="427"/>
      <c r="V228" s="427"/>
      <c r="W228" s="427"/>
      <c r="X228" s="427"/>
      <c r="Y228" s="427"/>
      <c r="Z228" s="427"/>
      <c r="AA228" s="427"/>
      <c r="AB228" s="427"/>
      <c r="AC228" s="427"/>
      <c r="AD228" s="427"/>
      <c r="AE228" s="427"/>
      <c r="AF228" s="427"/>
      <c r="AG228" s="427"/>
      <c r="AH228" s="427"/>
      <c r="AI228" s="428"/>
    </row>
    <row r="229" spans="2:35" ht="32.1" customHeight="1">
      <c r="B229" s="615"/>
      <c r="C229" s="664">
        <v>2150</v>
      </c>
      <c r="D229" s="614">
        <f t="shared" si="65"/>
        <v>0</v>
      </c>
      <c r="E229" s="318" t="str">
        <f>VLOOKUP("[Stk]",Sprachindex!$A:$Z,Haftungsausschluß!$O$6,FALSE)</f>
        <v>[Stk]</v>
      </c>
      <c r="F229" s="318" t="str">
        <f>IF($L$14=1,Preisliste!$E207,Preisliste!$F207)</f>
        <v>H801623</v>
      </c>
      <c r="G229" s="988" t="str">
        <f>VLOOKUP("Steher VARIO 30° 80-2150 mm (Anfertigung auf Bestellung)",Sprachindex!$A:$Z,Haftungsausschluß!$O$6,FALSE)</f>
        <v>Steher VARIO 30° 80-2150 mm (Anfertigung auf Bestellung)</v>
      </c>
      <c r="H229" s="989"/>
      <c r="I229" s="989"/>
      <c r="J229" s="989"/>
      <c r="K229" s="989"/>
      <c r="L229" s="989"/>
      <c r="M229" s="990"/>
      <c r="N229" s="557"/>
      <c r="O229" s="643">
        <f t="shared" si="66"/>
        <v>0</v>
      </c>
      <c r="P229" s="324"/>
      <c r="Q229" s="657"/>
      <c r="R229" s="323"/>
      <c r="S229" s="427"/>
      <c r="T229" s="427"/>
      <c r="U229" s="427"/>
      <c r="V229" s="427"/>
      <c r="W229" s="427"/>
      <c r="X229" s="427"/>
      <c r="Y229" s="427"/>
      <c r="Z229" s="427"/>
      <c r="AA229" s="427"/>
      <c r="AB229" s="427"/>
      <c r="AC229" s="427"/>
      <c r="AD229" s="427"/>
      <c r="AE229" s="427"/>
      <c r="AF229" s="427"/>
      <c r="AG229" s="427"/>
      <c r="AH229" s="427"/>
      <c r="AI229" s="428"/>
    </row>
    <row r="230" spans="2:35" ht="32.1" customHeight="1">
      <c r="B230" s="615"/>
      <c r="C230" s="664">
        <v>750</v>
      </c>
      <c r="D230" s="614">
        <f t="shared" si="65"/>
        <v>0</v>
      </c>
      <c r="E230" s="318" t="str">
        <f>VLOOKUP("[Stk]",Sprachindex!$A:$Z,Haftungsausschluß!$O$6,FALSE)</f>
        <v>[Stk]</v>
      </c>
      <c r="F230" s="318" t="str">
        <f>IF($L$14=1,Preisliste!$E208,Preisliste!$F208)</f>
        <v>H801630</v>
      </c>
      <c r="G230" s="988" t="str">
        <f>VLOOKUP("Steher VARIO 45° 80-750 mm (Anfertigung auf Bestellung)",Sprachindex!$A:$Z,Haftungsausschluß!$O$6,FALSE)</f>
        <v>Steher VARIO 45° 80-750 mm (Anfertigung auf Bestellung)</v>
      </c>
      <c r="H230" s="989"/>
      <c r="I230" s="989"/>
      <c r="J230" s="989"/>
      <c r="K230" s="989"/>
      <c r="L230" s="989"/>
      <c r="M230" s="990"/>
      <c r="N230" s="557"/>
      <c r="O230" s="643">
        <f t="shared" si="66"/>
        <v>0</v>
      </c>
      <c r="P230" s="324"/>
      <c r="Q230" s="657"/>
      <c r="R230" s="323"/>
      <c r="S230" s="427"/>
      <c r="T230" s="427"/>
      <c r="U230" s="427"/>
      <c r="V230" s="427"/>
      <c r="W230" s="427"/>
      <c r="X230" s="427"/>
      <c r="Y230" s="427"/>
      <c r="Z230" s="427"/>
      <c r="AA230" s="427"/>
      <c r="AB230" s="427"/>
      <c r="AC230" s="427"/>
      <c r="AD230" s="427"/>
      <c r="AE230" s="427"/>
      <c r="AF230" s="427"/>
      <c r="AG230" s="427"/>
      <c r="AH230" s="427"/>
      <c r="AI230" s="428"/>
    </row>
    <row r="231" spans="2:35" ht="32.1" customHeight="1">
      <c r="B231" s="615"/>
      <c r="C231" s="664">
        <v>1350</v>
      </c>
      <c r="D231" s="614">
        <f t="shared" si="65"/>
        <v>0</v>
      </c>
      <c r="E231" s="318" t="str">
        <f>VLOOKUP("[Stk]",Sprachindex!$A:$Z,Haftungsausschluß!$O$6,FALSE)</f>
        <v>[Stk]</v>
      </c>
      <c r="F231" s="318" t="str">
        <f>IF($L$14=1,Preisliste!$E209,Preisliste!$F209)</f>
        <v>H801631</v>
      </c>
      <c r="G231" s="988" t="str">
        <f>VLOOKUP("Steher VARIO 45° 80-1350 mm (Anfertigung auf Bestellung)",Sprachindex!$A:$Z,Haftungsausschluß!$O$6,FALSE)</f>
        <v>Steher VARIO 45° 80-1350 mm (Anfertigung auf Bestellung)</v>
      </c>
      <c r="H231" s="989"/>
      <c r="I231" s="989"/>
      <c r="J231" s="989"/>
      <c r="K231" s="989"/>
      <c r="L231" s="989"/>
      <c r="M231" s="990"/>
      <c r="N231" s="557"/>
      <c r="O231" s="643">
        <f t="shared" si="66"/>
        <v>0</v>
      </c>
      <c r="P231" s="324"/>
      <c r="Q231" s="657"/>
      <c r="R231" s="323"/>
      <c r="S231" s="427"/>
      <c r="T231" s="427"/>
      <c r="U231" s="427"/>
      <c r="V231" s="427"/>
      <c r="W231" s="427"/>
      <c r="X231" s="427"/>
      <c r="Y231" s="427"/>
      <c r="Z231" s="427"/>
      <c r="AA231" s="427"/>
      <c r="AB231" s="427"/>
      <c r="AC231" s="427"/>
      <c r="AD231" s="427"/>
      <c r="AE231" s="427"/>
      <c r="AF231" s="427"/>
      <c r="AG231" s="427"/>
      <c r="AH231" s="427"/>
      <c r="AI231" s="428"/>
    </row>
    <row r="232" spans="2:35" ht="32.1" customHeight="1">
      <c r="B232" s="615"/>
      <c r="C232" s="664">
        <v>1750</v>
      </c>
      <c r="D232" s="614">
        <f t="shared" si="65"/>
        <v>0</v>
      </c>
      <c r="E232" s="318" t="str">
        <f>VLOOKUP("[Stk]",Sprachindex!$A:$Z,Haftungsausschluß!$O$6,FALSE)</f>
        <v>[Stk]</v>
      </c>
      <c r="F232" s="318" t="str">
        <f>IF($L$14=1,Preisliste!$E210,Preisliste!$F210)</f>
        <v>H801632</v>
      </c>
      <c r="G232" s="988" t="str">
        <f>VLOOKUP("Steher VARIO 45° 80-1750 mm (Anfertigung auf Bestellung)",Sprachindex!$A:$Z,Haftungsausschluß!$O$6,FALSE)</f>
        <v>Steher VARIO 45° 80-1750 mm (Anfertigung auf Bestellung)</v>
      </c>
      <c r="H232" s="989"/>
      <c r="I232" s="989"/>
      <c r="J232" s="989"/>
      <c r="K232" s="989"/>
      <c r="L232" s="989"/>
      <c r="M232" s="990"/>
      <c r="N232" s="557"/>
      <c r="O232" s="643">
        <f t="shared" si="66"/>
        <v>0</v>
      </c>
      <c r="P232" s="324"/>
      <c r="Q232" s="657"/>
      <c r="R232" s="323"/>
      <c r="S232" s="427"/>
      <c r="T232" s="427"/>
      <c r="U232" s="427"/>
      <c r="V232" s="427"/>
      <c r="W232" s="427"/>
      <c r="X232" s="427"/>
      <c r="Y232" s="427"/>
      <c r="Z232" s="427"/>
      <c r="AA232" s="427"/>
      <c r="AB232" s="427"/>
      <c r="AC232" s="427"/>
      <c r="AD232" s="427"/>
      <c r="AE232" s="427"/>
      <c r="AF232" s="427"/>
      <c r="AG232" s="427"/>
      <c r="AH232" s="427"/>
      <c r="AI232" s="428"/>
    </row>
    <row r="233" spans="2:35" ht="32.1" customHeight="1">
      <c r="B233" s="615"/>
      <c r="C233" s="664">
        <v>2150</v>
      </c>
      <c r="D233" s="614">
        <f t="shared" si="65"/>
        <v>0</v>
      </c>
      <c r="E233" s="318" t="str">
        <f>VLOOKUP("[Stk]",Sprachindex!$A:$Z,Haftungsausschluß!$O$6,FALSE)</f>
        <v>[Stk]</v>
      </c>
      <c r="F233" s="318" t="str">
        <f>IF($L$14=1,Preisliste!$E211,Preisliste!$F211)</f>
        <v>H801633</v>
      </c>
      <c r="G233" s="988" t="str">
        <f>VLOOKUP("Steher VARIO 45° 80-2150 mm (Anfertigung auf Bestellung)",Sprachindex!$A:$Z,Haftungsausschluß!$O$6,FALSE)</f>
        <v>Steher VARIO 45° 80-2150 mm (Anfertigung auf Bestellung)</v>
      </c>
      <c r="H233" s="989"/>
      <c r="I233" s="989"/>
      <c r="J233" s="989"/>
      <c r="K233" s="989"/>
      <c r="L233" s="989"/>
      <c r="M233" s="990"/>
      <c r="N233" s="557"/>
      <c r="O233" s="643">
        <f t="shared" si="66"/>
        <v>0</v>
      </c>
      <c r="P233" s="324"/>
      <c r="Q233" s="657"/>
      <c r="R233" s="323"/>
      <c r="S233" s="427"/>
      <c r="T233" s="427"/>
      <c r="U233" s="427"/>
      <c r="V233" s="427"/>
      <c r="W233" s="427"/>
      <c r="X233" s="427"/>
      <c r="Y233" s="427"/>
      <c r="Z233" s="427"/>
      <c r="AA233" s="427"/>
      <c r="AB233" s="427"/>
      <c r="AC233" s="427"/>
      <c r="AD233" s="427"/>
      <c r="AE233" s="427"/>
      <c r="AF233" s="427"/>
      <c r="AG233" s="427"/>
      <c r="AH233" s="427"/>
      <c r="AI233" s="428"/>
    </row>
    <row r="234" spans="2:35" ht="32.1" customHeight="1">
      <c r="B234" s="615"/>
      <c r="C234" s="664">
        <v>750</v>
      </c>
      <c r="D234" s="614">
        <f t="shared" si="65"/>
        <v>0</v>
      </c>
      <c r="E234" s="318" t="str">
        <f>VLOOKUP("[Stk]",Sprachindex!$A:$Z,Haftungsausschluß!$O$6,FALSE)</f>
        <v>[Stk]</v>
      </c>
      <c r="F234" s="318" t="str">
        <f>IF($L$14=1,Preisliste!$E212,Preisliste!$F212)</f>
        <v>H801640</v>
      </c>
      <c r="G234" s="988" t="str">
        <f>VLOOKUP("Steher VARIO 60° 80-750 mm (Anfertigung auf Bestellung)",Sprachindex!$A:$Z,Haftungsausschluß!$O$6,FALSE)</f>
        <v>Steher VARIO 60° 80-750 mm (Anfertigung auf Bestellung)</v>
      </c>
      <c r="H234" s="989"/>
      <c r="I234" s="989"/>
      <c r="J234" s="989"/>
      <c r="K234" s="989"/>
      <c r="L234" s="989"/>
      <c r="M234" s="990"/>
      <c r="N234" s="557"/>
      <c r="O234" s="643">
        <f t="shared" si="66"/>
        <v>0</v>
      </c>
      <c r="P234" s="324"/>
      <c r="Q234" s="657"/>
      <c r="R234" s="323"/>
      <c r="S234" s="427"/>
      <c r="T234" s="427"/>
      <c r="U234" s="427"/>
      <c r="V234" s="427"/>
      <c r="W234" s="427"/>
      <c r="X234" s="427"/>
      <c r="Y234" s="427"/>
      <c r="Z234" s="427"/>
      <c r="AA234" s="427"/>
      <c r="AB234" s="427"/>
      <c r="AC234" s="427"/>
      <c r="AD234" s="427"/>
      <c r="AE234" s="427"/>
      <c r="AF234" s="427"/>
      <c r="AG234" s="427"/>
      <c r="AH234" s="427"/>
      <c r="AI234" s="428"/>
    </row>
    <row r="235" spans="2:35" ht="32.1" customHeight="1">
      <c r="B235" s="615"/>
      <c r="C235" s="664">
        <v>1350</v>
      </c>
      <c r="D235" s="614">
        <f t="shared" si="65"/>
        <v>0</v>
      </c>
      <c r="E235" s="318" t="str">
        <f>VLOOKUP("[Stk]",Sprachindex!$A:$Z,Haftungsausschluß!$O$6,FALSE)</f>
        <v>[Stk]</v>
      </c>
      <c r="F235" s="318" t="str">
        <f>IF($L$14=1,Preisliste!$E213,Preisliste!$F213)</f>
        <v>H801641</v>
      </c>
      <c r="G235" s="988" t="str">
        <f>VLOOKUP("Steher VARIO 60° 80-1350 mm (Anfertigung auf Bestellung)",Sprachindex!$A:$Z,Haftungsausschluß!$O$6,FALSE)</f>
        <v>Steher VARIO 60° 80-1350 mm (Anfertigung auf Bestellung)</v>
      </c>
      <c r="H235" s="989"/>
      <c r="I235" s="989"/>
      <c r="J235" s="989"/>
      <c r="K235" s="989"/>
      <c r="L235" s="989"/>
      <c r="M235" s="990"/>
      <c r="N235" s="557"/>
      <c r="O235" s="643">
        <f t="shared" si="66"/>
        <v>0</v>
      </c>
      <c r="P235" s="324"/>
      <c r="Q235" s="657"/>
      <c r="R235" s="323"/>
      <c r="S235" s="427"/>
      <c r="T235" s="427"/>
      <c r="U235" s="427"/>
      <c r="V235" s="427"/>
      <c r="W235" s="427"/>
      <c r="X235" s="427"/>
      <c r="Y235" s="427"/>
      <c r="Z235" s="427"/>
      <c r="AA235" s="427"/>
      <c r="AB235" s="427"/>
      <c r="AC235" s="427"/>
      <c r="AD235" s="427"/>
      <c r="AE235" s="427"/>
      <c r="AF235" s="427"/>
      <c r="AG235" s="427"/>
      <c r="AH235" s="427"/>
      <c r="AI235" s="428"/>
    </row>
    <row r="236" spans="2:35" ht="32.1" customHeight="1">
      <c r="B236" s="615"/>
      <c r="C236" s="664">
        <v>1750</v>
      </c>
      <c r="D236" s="614">
        <f t="shared" si="65"/>
        <v>0</v>
      </c>
      <c r="E236" s="318" t="str">
        <f>VLOOKUP("[Stk]",Sprachindex!$A:$Z,Haftungsausschluß!$O$6,FALSE)</f>
        <v>[Stk]</v>
      </c>
      <c r="F236" s="318" t="str">
        <f>IF($L$14=1,Preisliste!$E214,Preisliste!$F214)</f>
        <v>H801642</v>
      </c>
      <c r="G236" s="988" t="str">
        <f>VLOOKUP("Steher VARIO 60° 80-1750 mm (Anfertigung auf Bestellung)",Sprachindex!$A:$Z,Haftungsausschluß!$O$6,FALSE)</f>
        <v>Steher VARIO 60° 80-1750 mm (Anfertigung auf Bestellung)</v>
      </c>
      <c r="H236" s="989"/>
      <c r="I236" s="989"/>
      <c r="J236" s="989"/>
      <c r="K236" s="989"/>
      <c r="L236" s="989"/>
      <c r="M236" s="990"/>
      <c r="N236" s="557"/>
      <c r="O236" s="643">
        <f t="shared" si="66"/>
        <v>0</v>
      </c>
      <c r="P236" s="324"/>
      <c r="Q236" s="657"/>
      <c r="R236" s="323"/>
      <c r="S236" s="427"/>
      <c r="T236" s="427"/>
      <c r="U236" s="427"/>
      <c r="V236" s="427"/>
      <c r="W236" s="427"/>
      <c r="X236" s="427"/>
      <c r="Y236" s="427"/>
      <c r="Z236" s="427"/>
      <c r="AA236" s="427"/>
      <c r="AB236" s="427"/>
      <c r="AC236" s="427"/>
      <c r="AD236" s="427"/>
      <c r="AE236" s="427"/>
      <c r="AF236" s="427"/>
      <c r="AG236" s="427"/>
      <c r="AH236" s="427"/>
      <c r="AI236" s="428"/>
    </row>
    <row r="237" spans="2:35" ht="32.1" customHeight="1">
      <c r="B237" s="615"/>
      <c r="C237" s="664">
        <v>2150</v>
      </c>
      <c r="D237" s="614">
        <f t="shared" si="65"/>
        <v>0</v>
      </c>
      <c r="E237" s="318" t="str">
        <f>VLOOKUP("[Stk]",Sprachindex!$A:$Z,Haftungsausschluß!$O$6,FALSE)</f>
        <v>[Stk]</v>
      </c>
      <c r="F237" s="318" t="str">
        <f>IF($L$14=1,Preisliste!$E215,Preisliste!$F215)</f>
        <v>H801643</v>
      </c>
      <c r="G237" s="988" t="str">
        <f>VLOOKUP("Steher VARIO 60° 80-2150 mm (Anfertigung auf Bestellung)",Sprachindex!$A:$Z,Haftungsausschluß!$O$6,FALSE)</f>
        <v>Steher VARIO 60° 80-2150 mm (Anfertigung auf Bestellung)</v>
      </c>
      <c r="H237" s="989"/>
      <c r="I237" s="989"/>
      <c r="J237" s="989"/>
      <c r="K237" s="989"/>
      <c r="L237" s="989"/>
      <c r="M237" s="990"/>
      <c r="N237" s="557"/>
      <c r="O237" s="643">
        <f t="shared" si="66"/>
        <v>0</v>
      </c>
      <c r="P237" s="324"/>
      <c r="Q237" s="657"/>
      <c r="R237" s="323"/>
      <c r="S237" s="427"/>
      <c r="T237" s="427"/>
      <c r="U237" s="427"/>
      <c r="V237" s="427"/>
      <c r="W237" s="427"/>
      <c r="X237" s="427"/>
      <c r="Y237" s="427"/>
      <c r="Z237" s="427"/>
      <c r="AA237" s="427"/>
      <c r="AB237" s="427"/>
      <c r="AC237" s="427"/>
      <c r="AD237" s="427"/>
      <c r="AE237" s="427"/>
      <c r="AF237" s="427"/>
      <c r="AG237" s="427"/>
      <c r="AH237" s="427"/>
      <c r="AI237" s="428"/>
    </row>
    <row r="238" spans="2:35" ht="32.1" customHeight="1">
      <c r="B238" s="615"/>
      <c r="C238" s="664">
        <v>750</v>
      </c>
      <c r="D238" s="614">
        <f t="shared" si="65"/>
        <v>0</v>
      </c>
      <c r="E238" s="318" t="str">
        <f>VLOOKUP("[Stk]",Sprachindex!$A:$Z,Haftungsausschluß!$O$6,FALSE)</f>
        <v>[Stk]</v>
      </c>
      <c r="F238" s="318" t="str">
        <f>IF($L$14=1,Preisliste!$E216,Preisliste!$F216)</f>
        <v>H501610</v>
      </c>
      <c r="G238" s="988" t="str">
        <f>VLOOKUP("Steher VARIO 15° 50-750 mm (Anfertigung auf Bestellung)",Sprachindex!$A:$Z,Haftungsausschluß!$O$6,FALSE)</f>
        <v>Steher VARIO 15° 50-750 mm (Anfertigung auf Bestellung)</v>
      </c>
      <c r="H238" s="989"/>
      <c r="I238" s="989"/>
      <c r="J238" s="989"/>
      <c r="K238" s="989"/>
      <c r="L238" s="989"/>
      <c r="M238" s="990"/>
      <c r="N238" s="557"/>
      <c r="O238" s="643">
        <f t="shared" si="66"/>
        <v>0</v>
      </c>
      <c r="P238" s="324"/>
      <c r="Q238" s="657"/>
      <c r="R238" s="323"/>
      <c r="S238" s="427"/>
      <c r="T238" s="427"/>
      <c r="U238" s="427"/>
      <c r="V238" s="427"/>
      <c r="W238" s="427"/>
      <c r="X238" s="427"/>
      <c r="Y238" s="427"/>
      <c r="Z238" s="427"/>
      <c r="AA238" s="427"/>
      <c r="AB238" s="427"/>
      <c r="AC238" s="427"/>
      <c r="AD238" s="427"/>
      <c r="AE238" s="427"/>
      <c r="AF238" s="427"/>
      <c r="AG238" s="427"/>
      <c r="AH238" s="427"/>
      <c r="AI238" s="428"/>
    </row>
    <row r="239" spans="2:35" ht="32.1" customHeight="1">
      <c r="B239" s="615"/>
      <c r="C239" s="664">
        <v>1350</v>
      </c>
      <c r="D239" s="614">
        <f t="shared" si="65"/>
        <v>0</v>
      </c>
      <c r="E239" s="318" t="str">
        <f>VLOOKUP("[Stk]",Sprachindex!$A:$Z,Haftungsausschluß!$O$6,FALSE)</f>
        <v>[Stk]</v>
      </c>
      <c r="F239" s="318" t="str">
        <f>IF($L$14=1,Preisliste!$E217,Preisliste!$F217)</f>
        <v>H501611</v>
      </c>
      <c r="G239" s="988" t="str">
        <f>VLOOKUP("Steher VARIO 15° 50-1350 mm (Anfertigung auf Bestellung)",Sprachindex!$A:$Z,Haftungsausschluß!$O$6,FALSE)</f>
        <v>Steher VARIO 15° 50-1350 mm (Anfertigung auf Bestellung)</v>
      </c>
      <c r="H239" s="989"/>
      <c r="I239" s="989"/>
      <c r="J239" s="989"/>
      <c r="K239" s="989"/>
      <c r="L239" s="989"/>
      <c r="M239" s="990"/>
      <c r="N239" s="557"/>
      <c r="O239" s="643">
        <f t="shared" si="66"/>
        <v>0</v>
      </c>
      <c r="P239" s="324"/>
      <c r="Q239" s="657"/>
      <c r="R239" s="323"/>
      <c r="S239" s="427"/>
      <c r="T239" s="427"/>
      <c r="U239" s="427"/>
      <c r="V239" s="427"/>
      <c r="W239" s="427"/>
      <c r="X239" s="427"/>
      <c r="Y239" s="427"/>
      <c r="Z239" s="427"/>
      <c r="AA239" s="427"/>
      <c r="AB239" s="427"/>
      <c r="AC239" s="427"/>
      <c r="AD239" s="427"/>
      <c r="AE239" s="427"/>
      <c r="AF239" s="427"/>
      <c r="AG239" s="427"/>
      <c r="AH239" s="427"/>
      <c r="AI239" s="428"/>
    </row>
    <row r="240" spans="2:35" ht="32.1" customHeight="1">
      <c r="B240" s="615"/>
      <c r="C240" s="664">
        <v>1750</v>
      </c>
      <c r="D240" s="614">
        <f t="shared" si="65"/>
        <v>0</v>
      </c>
      <c r="E240" s="318" t="str">
        <f>VLOOKUP("[Stk]",Sprachindex!$A:$Z,Haftungsausschluß!$O$6,FALSE)</f>
        <v>[Stk]</v>
      </c>
      <c r="F240" s="318" t="str">
        <f>IF($L$14=1,Preisliste!$E218,Preisliste!$F218)</f>
        <v>H501612</v>
      </c>
      <c r="G240" s="988" t="str">
        <f>VLOOKUP("Steher VARIO 15° 50-1750 mm (Anfertigung auf Bestellung)",Sprachindex!$A:$Z,Haftungsausschluß!$O$6,FALSE)</f>
        <v>Steher VARIO 15° 50-1750 mm (Anfertigung auf Bestellung)</v>
      </c>
      <c r="H240" s="989"/>
      <c r="I240" s="989"/>
      <c r="J240" s="989"/>
      <c r="K240" s="989"/>
      <c r="L240" s="989"/>
      <c r="M240" s="990"/>
      <c r="N240" s="557"/>
      <c r="O240" s="643">
        <f t="shared" si="66"/>
        <v>0</v>
      </c>
      <c r="P240" s="324"/>
      <c r="Q240" s="657"/>
      <c r="R240" s="323"/>
      <c r="S240" s="427"/>
      <c r="T240" s="427"/>
      <c r="U240" s="427"/>
      <c r="V240" s="427"/>
      <c r="W240" s="427"/>
      <c r="X240" s="427"/>
      <c r="Y240" s="427"/>
      <c r="Z240" s="427"/>
      <c r="AA240" s="427"/>
      <c r="AB240" s="427"/>
      <c r="AC240" s="427"/>
      <c r="AD240" s="427"/>
      <c r="AE240" s="427"/>
      <c r="AF240" s="427"/>
      <c r="AG240" s="427"/>
      <c r="AH240" s="427"/>
      <c r="AI240" s="428"/>
    </row>
    <row r="241" spans="2:35" ht="32.1" customHeight="1">
      <c r="B241" s="615"/>
      <c r="C241" s="664">
        <v>2150</v>
      </c>
      <c r="D241" s="614">
        <f t="shared" si="65"/>
        <v>0</v>
      </c>
      <c r="E241" s="318" t="str">
        <f>VLOOKUP("[Stk]",Sprachindex!$A:$Z,Haftungsausschluß!$O$6,FALSE)</f>
        <v>[Stk]</v>
      </c>
      <c r="F241" s="318" t="str">
        <f>IF($L$14=1,Preisliste!$E219,Preisliste!$F219)</f>
        <v>H501613</v>
      </c>
      <c r="G241" s="988" t="str">
        <f>VLOOKUP("Steher VARIO 15° 50-2150 mm (Anfertigung auf Bestellung)",Sprachindex!$A:$Z,Haftungsausschluß!$O$6,FALSE)</f>
        <v>Steher VARIO 15° 50-2150 mm (Anfertigung auf Bestellung)</v>
      </c>
      <c r="H241" s="989"/>
      <c r="I241" s="989"/>
      <c r="J241" s="989"/>
      <c r="K241" s="989"/>
      <c r="L241" s="989"/>
      <c r="M241" s="990"/>
      <c r="N241" s="557"/>
      <c r="O241" s="643">
        <f t="shared" si="66"/>
        <v>0</v>
      </c>
      <c r="P241" s="324"/>
      <c r="Q241" s="657"/>
      <c r="R241" s="323"/>
      <c r="S241" s="427"/>
      <c r="T241" s="427"/>
      <c r="U241" s="427"/>
      <c r="V241" s="427"/>
      <c r="W241" s="427"/>
      <c r="X241" s="427"/>
      <c r="Y241" s="427"/>
      <c r="Z241" s="427"/>
      <c r="AA241" s="427"/>
      <c r="AB241" s="427"/>
      <c r="AC241" s="427"/>
      <c r="AD241" s="427"/>
      <c r="AE241" s="427"/>
      <c r="AF241" s="427"/>
      <c r="AG241" s="427"/>
      <c r="AH241" s="427"/>
      <c r="AI241" s="428"/>
    </row>
    <row r="242" spans="2:35" ht="32.1" customHeight="1">
      <c r="B242" s="615"/>
      <c r="C242" s="664">
        <v>750</v>
      </c>
      <c r="D242" s="614">
        <f t="shared" si="65"/>
        <v>0</v>
      </c>
      <c r="E242" s="318" t="str">
        <f>VLOOKUP("[Stk]",Sprachindex!$A:$Z,Haftungsausschluß!$O$6,FALSE)</f>
        <v>[Stk]</v>
      </c>
      <c r="F242" s="318" t="str">
        <f>IF($L$14=1,Preisliste!$E220,Preisliste!$F220)</f>
        <v>H501620</v>
      </c>
      <c r="G242" s="988" t="str">
        <f>VLOOKUP("Steher VARIO 30° 50-750 mm (Anfertigung auf Bestellung)",Sprachindex!$A:$Z,Haftungsausschluß!$O$6,FALSE)</f>
        <v>Steher VARIO 30° 50-750 mm (Anfertigung auf Bestellung)</v>
      </c>
      <c r="H242" s="989"/>
      <c r="I242" s="989"/>
      <c r="J242" s="989"/>
      <c r="K242" s="989"/>
      <c r="L242" s="989"/>
      <c r="M242" s="990"/>
      <c r="N242" s="557"/>
      <c r="O242" s="643">
        <f t="shared" si="66"/>
        <v>0</v>
      </c>
      <c r="P242" s="324"/>
      <c r="Q242" s="657"/>
      <c r="R242" s="323"/>
      <c r="S242" s="427"/>
      <c r="T242" s="427"/>
      <c r="U242" s="427"/>
      <c r="V242" s="427"/>
      <c r="W242" s="427"/>
      <c r="X242" s="427"/>
      <c r="Y242" s="427"/>
      <c r="Z242" s="427"/>
      <c r="AA242" s="427"/>
      <c r="AB242" s="427"/>
      <c r="AC242" s="427"/>
      <c r="AD242" s="427"/>
      <c r="AE242" s="427"/>
      <c r="AF242" s="427"/>
      <c r="AG242" s="427"/>
      <c r="AH242" s="427"/>
      <c r="AI242" s="428"/>
    </row>
    <row r="243" spans="2:35" ht="32.1" customHeight="1">
      <c r="B243" s="615"/>
      <c r="C243" s="664">
        <v>1350</v>
      </c>
      <c r="D243" s="614">
        <f t="shared" si="65"/>
        <v>0</v>
      </c>
      <c r="E243" s="318" t="str">
        <f>VLOOKUP("[Stk]",Sprachindex!$A:$Z,Haftungsausschluß!$O$6,FALSE)</f>
        <v>[Stk]</v>
      </c>
      <c r="F243" s="318" t="str">
        <f>IF($L$14=1,Preisliste!$E221,Preisliste!$F221)</f>
        <v>H501621</v>
      </c>
      <c r="G243" s="988" t="str">
        <f>VLOOKUP("Steher VARIO 30° 50-1350 mm (Anfertigung auf Bestellung)",Sprachindex!$A:$Z,Haftungsausschluß!$O$6,FALSE)</f>
        <v>Steher VARIO 30° 50-1350 mm (Anfertigung auf Bestellung)</v>
      </c>
      <c r="H243" s="989"/>
      <c r="I243" s="989"/>
      <c r="J243" s="989"/>
      <c r="K243" s="989"/>
      <c r="L243" s="989"/>
      <c r="M243" s="990"/>
      <c r="N243" s="557"/>
      <c r="O243" s="643">
        <f t="shared" si="66"/>
        <v>0</v>
      </c>
      <c r="P243" s="324"/>
      <c r="Q243" s="657"/>
      <c r="R243" s="323"/>
      <c r="S243" s="427"/>
      <c r="T243" s="427"/>
      <c r="U243" s="427"/>
      <c r="V243" s="427"/>
      <c r="W243" s="427"/>
      <c r="X243" s="427"/>
      <c r="Y243" s="427"/>
      <c r="Z243" s="427"/>
      <c r="AA243" s="427"/>
      <c r="AB243" s="427"/>
      <c r="AC243" s="427"/>
      <c r="AD243" s="427"/>
      <c r="AE243" s="427"/>
      <c r="AF243" s="427"/>
      <c r="AG243" s="427"/>
      <c r="AH243" s="427"/>
      <c r="AI243" s="428"/>
    </row>
    <row r="244" spans="2:35" ht="32.1" customHeight="1">
      <c r="B244" s="615"/>
      <c r="C244" s="664">
        <v>1750</v>
      </c>
      <c r="D244" s="614">
        <f t="shared" si="65"/>
        <v>0</v>
      </c>
      <c r="E244" s="318" t="str">
        <f>VLOOKUP("[Stk]",Sprachindex!$A:$Z,Haftungsausschluß!$O$6,FALSE)</f>
        <v>[Stk]</v>
      </c>
      <c r="F244" s="318" t="str">
        <f>IF($L$14=1,Preisliste!$E222,Preisliste!$F222)</f>
        <v>H501622</v>
      </c>
      <c r="G244" s="988" t="str">
        <f>VLOOKUP("Steher VARIO 30° 50-1750 mm (Anfertigung auf Bestellung)",Sprachindex!$A:$Z,Haftungsausschluß!$O$6,FALSE)</f>
        <v>Steher VARIO 30° 50-1750 mm (Anfertigung auf Bestellung)</v>
      </c>
      <c r="H244" s="989"/>
      <c r="I244" s="989"/>
      <c r="J244" s="989"/>
      <c r="K244" s="989"/>
      <c r="L244" s="989"/>
      <c r="M244" s="990"/>
      <c r="N244" s="557"/>
      <c r="O244" s="643">
        <f t="shared" si="66"/>
        <v>0</v>
      </c>
      <c r="P244" s="324"/>
      <c r="Q244" s="657"/>
      <c r="R244" s="323"/>
      <c r="S244" s="427"/>
      <c r="T244" s="427"/>
      <c r="U244" s="427"/>
      <c r="V244" s="427"/>
      <c r="W244" s="427"/>
      <c r="X244" s="427"/>
      <c r="Y244" s="427"/>
      <c r="Z244" s="427"/>
      <c r="AA244" s="427"/>
      <c r="AB244" s="427"/>
      <c r="AC244" s="427"/>
      <c r="AD244" s="427"/>
      <c r="AE244" s="427"/>
      <c r="AF244" s="427"/>
      <c r="AG244" s="427"/>
      <c r="AH244" s="427"/>
      <c r="AI244" s="428"/>
    </row>
    <row r="245" spans="2:35" ht="32.1" customHeight="1">
      <c r="B245" s="615"/>
      <c r="C245" s="664">
        <v>2150</v>
      </c>
      <c r="D245" s="614">
        <f t="shared" si="65"/>
        <v>0</v>
      </c>
      <c r="E245" s="318" t="str">
        <f>VLOOKUP("[Stk]",Sprachindex!$A:$Z,Haftungsausschluß!$O$6,FALSE)</f>
        <v>[Stk]</v>
      </c>
      <c r="F245" s="318" t="str">
        <f>IF($L$14=1,Preisliste!$E223,Preisliste!$F223)</f>
        <v>H501623</v>
      </c>
      <c r="G245" s="988" t="str">
        <f>VLOOKUP("Steher VARIO 30° 50-2150 mm (Anfertigung auf Bestellung)",Sprachindex!$A:$Z,Haftungsausschluß!$O$6,FALSE)</f>
        <v>Steher VARIO 30° 50-2150 mm (Anfertigung auf Bestellung)</v>
      </c>
      <c r="H245" s="989"/>
      <c r="I245" s="989"/>
      <c r="J245" s="989"/>
      <c r="K245" s="989"/>
      <c r="L245" s="989"/>
      <c r="M245" s="990"/>
      <c r="N245" s="557"/>
      <c r="O245" s="643">
        <f t="shared" si="66"/>
        <v>0</v>
      </c>
      <c r="P245" s="324"/>
      <c r="Q245" s="657"/>
      <c r="R245" s="323"/>
      <c r="S245" s="427"/>
      <c r="T245" s="427"/>
      <c r="U245" s="427"/>
      <c r="V245" s="427"/>
      <c r="W245" s="427"/>
      <c r="X245" s="427"/>
      <c r="Y245" s="427"/>
      <c r="Z245" s="427"/>
      <c r="AA245" s="427"/>
      <c r="AB245" s="427"/>
      <c r="AC245" s="427"/>
      <c r="AD245" s="427"/>
      <c r="AE245" s="427"/>
      <c r="AF245" s="427"/>
      <c r="AG245" s="427"/>
      <c r="AH245" s="427"/>
      <c r="AI245" s="428"/>
    </row>
    <row r="246" spans="2:35" ht="32.1" customHeight="1">
      <c r="B246" s="615"/>
      <c r="C246" s="664">
        <v>750</v>
      </c>
      <c r="D246" s="614">
        <f t="shared" si="65"/>
        <v>0</v>
      </c>
      <c r="E246" s="318" t="str">
        <f>VLOOKUP("[Stk]",Sprachindex!$A:$Z,Haftungsausschluß!$O$6,FALSE)</f>
        <v>[Stk]</v>
      </c>
      <c r="F246" s="318" t="str">
        <f>IF($L$14=1,Preisliste!$E224,Preisliste!$F224)</f>
        <v>H501630</v>
      </c>
      <c r="G246" s="988" t="str">
        <f>VLOOKUP("Steher VARIO 45° 50-750 mm (Anfertigung auf Bestellung)",Sprachindex!$A:$Z,Haftungsausschluß!$O$6,FALSE)</f>
        <v>Steher VARIO 45° 50-750 mm (Anfertigung auf Bestellung)</v>
      </c>
      <c r="H246" s="989"/>
      <c r="I246" s="989"/>
      <c r="J246" s="989"/>
      <c r="K246" s="989"/>
      <c r="L246" s="989"/>
      <c r="M246" s="990"/>
      <c r="N246" s="557"/>
      <c r="O246" s="643">
        <f t="shared" si="66"/>
        <v>0</v>
      </c>
      <c r="P246" s="324"/>
      <c r="Q246" s="657"/>
      <c r="R246" s="323"/>
      <c r="S246" s="427"/>
      <c r="T246" s="427"/>
      <c r="U246" s="427"/>
      <c r="V246" s="427"/>
      <c r="W246" s="427"/>
      <c r="X246" s="427"/>
      <c r="Y246" s="427"/>
      <c r="Z246" s="427"/>
      <c r="AA246" s="427"/>
      <c r="AB246" s="427"/>
      <c r="AC246" s="427"/>
      <c r="AD246" s="427"/>
      <c r="AE246" s="427"/>
      <c r="AF246" s="427"/>
      <c r="AG246" s="427"/>
      <c r="AH246" s="427"/>
      <c r="AI246" s="428"/>
    </row>
    <row r="247" spans="2:35" ht="32.1" customHeight="1">
      <c r="B247" s="615"/>
      <c r="C247" s="664">
        <v>1350</v>
      </c>
      <c r="D247" s="614">
        <f t="shared" si="65"/>
        <v>0</v>
      </c>
      <c r="E247" s="318" t="str">
        <f>VLOOKUP("[Stk]",Sprachindex!$A:$Z,Haftungsausschluß!$O$6,FALSE)</f>
        <v>[Stk]</v>
      </c>
      <c r="F247" s="318" t="str">
        <f>IF($L$14=1,Preisliste!$E225,Preisliste!$F225)</f>
        <v>H501631</v>
      </c>
      <c r="G247" s="988" t="str">
        <f>VLOOKUP("Steher VARIO 45° 50-1350 mm (Anfertigung auf Bestellung)",Sprachindex!$A:$Z,Haftungsausschluß!$O$6,FALSE)</f>
        <v>Steher VARIO 45° 50-1350 mm (Anfertigung auf Bestellung)</v>
      </c>
      <c r="H247" s="989"/>
      <c r="I247" s="989"/>
      <c r="J247" s="989"/>
      <c r="K247" s="989"/>
      <c r="L247" s="989"/>
      <c r="M247" s="990"/>
      <c r="N247" s="557"/>
      <c r="O247" s="643">
        <f t="shared" si="66"/>
        <v>0</v>
      </c>
      <c r="P247" s="324"/>
      <c r="Q247" s="657"/>
      <c r="R247" s="323"/>
      <c r="S247" s="427"/>
      <c r="T247" s="427"/>
      <c r="U247" s="427"/>
      <c r="V247" s="427"/>
      <c r="W247" s="427"/>
      <c r="X247" s="427"/>
      <c r="Y247" s="427"/>
      <c r="Z247" s="427"/>
      <c r="AA247" s="427"/>
      <c r="AB247" s="427"/>
      <c r="AC247" s="427"/>
      <c r="AD247" s="427"/>
      <c r="AE247" s="427"/>
      <c r="AF247" s="427"/>
      <c r="AG247" s="427"/>
      <c r="AH247" s="427"/>
      <c r="AI247" s="428"/>
    </row>
    <row r="248" spans="2:35" ht="32.1" customHeight="1">
      <c r="B248" s="615"/>
      <c r="C248" s="664">
        <v>1750</v>
      </c>
      <c r="D248" s="614">
        <f t="shared" si="65"/>
        <v>0</v>
      </c>
      <c r="E248" s="318" t="str">
        <f>VLOOKUP("[Stk]",Sprachindex!$A:$Z,Haftungsausschluß!$O$6,FALSE)</f>
        <v>[Stk]</v>
      </c>
      <c r="F248" s="318" t="str">
        <f>IF($L$14=1,Preisliste!$E226,Preisliste!$F226)</f>
        <v>H501632</v>
      </c>
      <c r="G248" s="988" t="str">
        <f>VLOOKUP("Steher VARIO 45° 50-1750 mm (Anfertigung auf Bestellung)",Sprachindex!$A:$Z,Haftungsausschluß!$O$6,FALSE)</f>
        <v>Steher VARIO 45° 50-1750 mm (Anfertigung auf Bestellung)</v>
      </c>
      <c r="H248" s="989"/>
      <c r="I248" s="989"/>
      <c r="J248" s="989"/>
      <c r="K248" s="989"/>
      <c r="L248" s="989"/>
      <c r="M248" s="990"/>
      <c r="N248" s="557"/>
      <c r="O248" s="643">
        <f t="shared" si="66"/>
        <v>0</v>
      </c>
      <c r="P248" s="324"/>
      <c r="Q248" s="657"/>
      <c r="R248" s="323"/>
      <c r="S248" s="427"/>
      <c r="T248" s="427"/>
      <c r="U248" s="427"/>
      <c r="V248" s="427"/>
      <c r="W248" s="427"/>
      <c r="X248" s="427"/>
      <c r="Y248" s="427"/>
      <c r="Z248" s="427"/>
      <c r="AA248" s="427"/>
      <c r="AB248" s="427"/>
      <c r="AC248" s="427"/>
      <c r="AD248" s="427"/>
      <c r="AE248" s="427"/>
      <c r="AF248" s="427"/>
      <c r="AG248" s="427"/>
      <c r="AH248" s="427"/>
      <c r="AI248" s="428"/>
    </row>
    <row r="249" spans="2:35" ht="32.1" customHeight="1">
      <c r="B249" s="615"/>
      <c r="C249" s="664">
        <v>2150</v>
      </c>
      <c r="D249" s="614">
        <f t="shared" si="65"/>
        <v>0</v>
      </c>
      <c r="E249" s="318" t="str">
        <f>VLOOKUP("[Stk]",Sprachindex!$A:$Z,Haftungsausschluß!$O$6,FALSE)</f>
        <v>[Stk]</v>
      </c>
      <c r="F249" s="318" t="str">
        <f>IF($L$14=1,Preisliste!$E227,Preisliste!$F227)</f>
        <v>H501633</v>
      </c>
      <c r="G249" s="988" t="str">
        <f>VLOOKUP("Steher VARIO 45° 50-2150 mm (Anfertigung auf Bestellung)",Sprachindex!$A:$Z,Haftungsausschluß!$O$6,FALSE)</f>
        <v>Steher VARIO 45° 50-2150 mm (Anfertigung auf Bestellung)</v>
      </c>
      <c r="H249" s="989"/>
      <c r="I249" s="989"/>
      <c r="J249" s="989"/>
      <c r="K249" s="989"/>
      <c r="L249" s="989"/>
      <c r="M249" s="990"/>
      <c r="N249" s="557"/>
      <c r="O249" s="643">
        <f t="shared" si="66"/>
        <v>0</v>
      </c>
      <c r="P249" s="324"/>
      <c r="Q249" s="657"/>
      <c r="R249" s="323"/>
      <c r="S249" s="427"/>
      <c r="T249" s="427"/>
      <c r="U249" s="427"/>
      <c r="V249" s="427"/>
      <c r="W249" s="427"/>
      <c r="X249" s="427"/>
      <c r="Y249" s="427"/>
      <c r="Z249" s="427"/>
      <c r="AA249" s="427"/>
      <c r="AB249" s="427"/>
      <c r="AC249" s="427"/>
      <c r="AD249" s="427"/>
      <c r="AE249" s="427"/>
      <c r="AF249" s="427"/>
      <c r="AG249" s="427"/>
      <c r="AH249" s="427"/>
      <c r="AI249" s="428"/>
    </row>
    <row r="250" spans="2:35" ht="32.1" customHeight="1">
      <c r="B250" s="615"/>
      <c r="C250" s="664">
        <v>750</v>
      </c>
      <c r="D250" s="614">
        <f t="shared" si="65"/>
        <v>0</v>
      </c>
      <c r="E250" s="318" t="str">
        <f>VLOOKUP("[Stk]",Sprachindex!$A:$Z,Haftungsausschluß!$O$6,FALSE)</f>
        <v>[Stk]</v>
      </c>
      <c r="F250" s="318" t="str">
        <f>IF($L$14=1,Preisliste!$E228,Preisliste!$F228)</f>
        <v>H501640</v>
      </c>
      <c r="G250" s="988" t="str">
        <f>VLOOKUP("Steher VARIO 60° 50-750 mm (Anfertigung auf Bestellung)",Sprachindex!$A:$Z,Haftungsausschluß!$O$6,FALSE)</f>
        <v>Steher VARIO 60° 50-750 mm (Anfertigung auf Bestellung)</v>
      </c>
      <c r="H250" s="989"/>
      <c r="I250" s="989"/>
      <c r="J250" s="989"/>
      <c r="K250" s="989"/>
      <c r="L250" s="989"/>
      <c r="M250" s="990"/>
      <c r="N250" s="557"/>
      <c r="O250" s="643">
        <f t="shared" si="66"/>
        <v>0</v>
      </c>
      <c r="P250" s="324"/>
      <c r="Q250" s="657"/>
      <c r="R250" s="323"/>
      <c r="S250" s="427"/>
      <c r="T250" s="427"/>
      <c r="U250" s="427"/>
      <c r="V250" s="427"/>
      <c r="W250" s="427"/>
      <c r="X250" s="427"/>
      <c r="Y250" s="427"/>
      <c r="Z250" s="427"/>
      <c r="AA250" s="427"/>
      <c r="AB250" s="427"/>
      <c r="AC250" s="427"/>
      <c r="AD250" s="427"/>
      <c r="AE250" s="427"/>
      <c r="AF250" s="427"/>
      <c r="AG250" s="427"/>
      <c r="AH250" s="427"/>
      <c r="AI250" s="428"/>
    </row>
    <row r="251" spans="2:35" ht="32.1" customHeight="1">
      <c r="B251" s="615"/>
      <c r="C251" s="664">
        <v>1350</v>
      </c>
      <c r="D251" s="614">
        <f t="shared" si="65"/>
        <v>0</v>
      </c>
      <c r="E251" s="318" t="str">
        <f>VLOOKUP("[Stk]",Sprachindex!$A:$Z,Haftungsausschluß!$O$6,FALSE)</f>
        <v>[Stk]</v>
      </c>
      <c r="F251" s="318" t="str">
        <f>IF($L$14=1,Preisliste!$E229,Preisliste!$F229)</f>
        <v>H501641</v>
      </c>
      <c r="G251" s="988" t="str">
        <f>VLOOKUP("Steher VARIO 60° 50-1350 mm (Anfertigung auf Bestellung)",Sprachindex!$A:$Z,Haftungsausschluß!$O$6,FALSE)</f>
        <v>Steher VARIO 60° 50-1350 mm (Anfertigung auf Bestellung)</v>
      </c>
      <c r="H251" s="989"/>
      <c r="I251" s="989"/>
      <c r="J251" s="989"/>
      <c r="K251" s="989"/>
      <c r="L251" s="989"/>
      <c r="M251" s="990"/>
      <c r="N251" s="557"/>
      <c r="O251" s="643">
        <f t="shared" si="66"/>
        <v>0</v>
      </c>
      <c r="P251" s="324"/>
      <c r="Q251" s="657"/>
      <c r="R251" s="323"/>
      <c r="S251" s="427"/>
      <c r="T251" s="427"/>
      <c r="U251" s="427"/>
      <c r="V251" s="427"/>
      <c r="W251" s="427"/>
      <c r="X251" s="427"/>
      <c r="Y251" s="427"/>
      <c r="Z251" s="427"/>
      <c r="AA251" s="427"/>
      <c r="AB251" s="427"/>
      <c r="AC251" s="427"/>
      <c r="AD251" s="427"/>
      <c r="AE251" s="427"/>
      <c r="AF251" s="427"/>
      <c r="AG251" s="427"/>
      <c r="AH251" s="427"/>
      <c r="AI251" s="428"/>
    </row>
    <row r="252" spans="2:35" ht="32.1" customHeight="1">
      <c r="B252" s="615"/>
      <c r="C252" s="664">
        <v>1750</v>
      </c>
      <c r="D252" s="614">
        <f t="shared" si="65"/>
        <v>0</v>
      </c>
      <c r="E252" s="318" t="str">
        <f>VLOOKUP("[Stk]",Sprachindex!$A:$Z,Haftungsausschluß!$O$6,FALSE)</f>
        <v>[Stk]</v>
      </c>
      <c r="F252" s="318" t="str">
        <f>IF($L$14=1,Preisliste!$E230,Preisliste!$F230)</f>
        <v>H501642</v>
      </c>
      <c r="G252" s="988" t="str">
        <f>VLOOKUP("Steher VARIO 60° 50-1750 mm (Anfertigung auf Bestellung)",Sprachindex!$A:$Z,Haftungsausschluß!$O$6,FALSE)</f>
        <v>Steher VARIO 60° 50-1750 mm (Anfertigung auf Bestellung)</v>
      </c>
      <c r="H252" s="989"/>
      <c r="I252" s="989"/>
      <c r="J252" s="989"/>
      <c r="K252" s="989"/>
      <c r="L252" s="989"/>
      <c r="M252" s="990"/>
      <c r="N252" s="557"/>
      <c r="O252" s="643">
        <f t="shared" si="66"/>
        <v>0</v>
      </c>
      <c r="P252" s="324"/>
      <c r="Q252" s="657"/>
      <c r="R252" s="323"/>
      <c r="S252" s="427"/>
      <c r="T252" s="427"/>
      <c r="U252" s="427"/>
      <c r="V252" s="427"/>
      <c r="W252" s="427"/>
      <c r="X252" s="427"/>
      <c r="Y252" s="427"/>
      <c r="Z252" s="427"/>
      <c r="AA252" s="427"/>
      <c r="AB252" s="427"/>
      <c r="AC252" s="427"/>
      <c r="AD252" s="427"/>
      <c r="AE252" s="427"/>
      <c r="AF252" s="427"/>
      <c r="AG252" s="427"/>
      <c r="AH252" s="427"/>
      <c r="AI252" s="428"/>
    </row>
    <row r="253" spans="2:35" ht="32.1" customHeight="1">
      <c r="B253" s="615"/>
      <c r="C253" s="664">
        <v>2150</v>
      </c>
      <c r="D253" s="614">
        <f t="shared" si="65"/>
        <v>0</v>
      </c>
      <c r="E253" s="318" t="str">
        <f>VLOOKUP("[Stk]",Sprachindex!$A:$Z,Haftungsausschluß!$O$6,FALSE)</f>
        <v>[Stk]</v>
      </c>
      <c r="F253" s="318" t="str">
        <f>IF($L$14=1,Preisliste!$E231,Preisliste!$F231)</f>
        <v>H501643</v>
      </c>
      <c r="G253" s="988" t="str">
        <f>VLOOKUP("Steher VARIO 60° 50-2150 mm (Anfertigung auf Bestellung)",Sprachindex!$A:$Z,Haftungsausschluß!$O$6,FALSE)</f>
        <v>Steher VARIO 60° 50-2150 mm (Anfertigung auf Bestellung)</v>
      </c>
      <c r="H253" s="989"/>
      <c r="I253" s="989"/>
      <c r="J253" s="989"/>
      <c r="K253" s="989"/>
      <c r="L253" s="989"/>
      <c r="M253" s="990"/>
      <c r="N253" s="557"/>
      <c r="O253" s="643">
        <f t="shared" si="66"/>
        <v>0</v>
      </c>
      <c r="P253" s="324"/>
      <c r="Q253" s="657"/>
      <c r="R253" s="323"/>
      <c r="S253" s="427"/>
      <c r="T253" s="427"/>
      <c r="U253" s="427"/>
      <c r="V253" s="427"/>
      <c r="W253" s="427"/>
      <c r="X253" s="427"/>
      <c r="Y253" s="427"/>
      <c r="Z253" s="427"/>
      <c r="AA253" s="427"/>
      <c r="AB253" s="427"/>
      <c r="AC253" s="427"/>
      <c r="AD253" s="427"/>
      <c r="AE253" s="427"/>
      <c r="AF253" s="427"/>
      <c r="AG253" s="427"/>
      <c r="AH253" s="427"/>
      <c r="AI253" s="428"/>
    </row>
    <row r="254" spans="2:35" ht="32.1" customHeight="1">
      <c r="B254" s="615"/>
      <c r="C254" s="664">
        <v>750</v>
      </c>
      <c r="D254" s="614">
        <f t="shared" si="65"/>
        <v>0</v>
      </c>
      <c r="E254" s="318" t="str">
        <f>VLOOKUP("[Stk]",Sprachindex!$A:$Z,Haftungsausschluß!$O$6,FALSE)</f>
        <v>[Stk]</v>
      </c>
      <c r="F254" s="318" t="str">
        <f>IF($L$14=1,Preisliste!$E232,Preisliste!$F232)</f>
        <v>H501650</v>
      </c>
      <c r="G254" s="988" t="str">
        <f>VLOOKUP("Steher VARIO 75° 50-750 mm (Anfertigung auf Bestellung)",Sprachindex!$A:$Z,Haftungsausschluß!$O$6,FALSE)</f>
        <v>Steher VARIO 75° 50-750 mm (Anfertigung auf Bestellung)</v>
      </c>
      <c r="H254" s="989"/>
      <c r="I254" s="989"/>
      <c r="J254" s="989"/>
      <c r="K254" s="989"/>
      <c r="L254" s="989"/>
      <c r="M254" s="990"/>
      <c r="N254" s="557"/>
      <c r="O254" s="643">
        <f t="shared" si="66"/>
        <v>0</v>
      </c>
      <c r="P254" s="324"/>
      <c r="Q254" s="657"/>
      <c r="R254" s="323"/>
      <c r="S254" s="427"/>
      <c r="T254" s="427"/>
      <c r="U254" s="427"/>
      <c r="V254" s="427"/>
      <c r="W254" s="427"/>
      <c r="X254" s="427"/>
      <c r="Y254" s="427"/>
      <c r="Z254" s="427"/>
      <c r="AA254" s="427"/>
      <c r="AB254" s="427"/>
      <c r="AC254" s="427"/>
      <c r="AD254" s="427"/>
      <c r="AE254" s="427"/>
      <c r="AF254" s="427"/>
      <c r="AG254" s="427"/>
      <c r="AH254" s="427"/>
      <c r="AI254" s="428"/>
    </row>
    <row r="255" spans="2:35" ht="32.1" customHeight="1">
      <c r="B255" s="615"/>
      <c r="C255" s="664">
        <v>1350</v>
      </c>
      <c r="D255" s="614">
        <f t="shared" si="65"/>
        <v>0</v>
      </c>
      <c r="E255" s="318" t="str">
        <f>VLOOKUP("[Stk]",Sprachindex!$A:$Z,Haftungsausschluß!$O$6,FALSE)</f>
        <v>[Stk]</v>
      </c>
      <c r="F255" s="318" t="str">
        <f>IF($L$14=1,Preisliste!$E233,Preisliste!$F233)</f>
        <v>H501651</v>
      </c>
      <c r="G255" s="988" t="str">
        <f>VLOOKUP("Steher VARIO 75° 50-1350 mm (Anfertigung auf Bestellung)",Sprachindex!$A:$Z,Haftungsausschluß!$O$6,FALSE)</f>
        <v>Steher VARIO 75° 50-1350 mm (Anfertigung auf Bestellung)</v>
      </c>
      <c r="H255" s="989"/>
      <c r="I255" s="989"/>
      <c r="J255" s="989"/>
      <c r="K255" s="989"/>
      <c r="L255" s="989"/>
      <c r="M255" s="990"/>
      <c r="N255" s="557"/>
      <c r="O255" s="643">
        <f t="shared" si="66"/>
        <v>0</v>
      </c>
      <c r="P255" s="324"/>
      <c r="Q255" s="657"/>
      <c r="R255" s="323"/>
      <c r="S255" s="427"/>
      <c r="T255" s="427"/>
      <c r="U255" s="427"/>
      <c r="V255" s="427"/>
      <c r="W255" s="427"/>
      <c r="X255" s="427"/>
      <c r="Y255" s="427"/>
      <c r="Z255" s="427"/>
      <c r="AA255" s="427"/>
      <c r="AB255" s="427"/>
      <c r="AC255" s="427"/>
      <c r="AD255" s="427"/>
      <c r="AE255" s="427"/>
      <c r="AF255" s="427"/>
      <c r="AG255" s="427"/>
      <c r="AH255" s="427"/>
      <c r="AI255" s="428"/>
    </row>
    <row r="256" spans="2:35" ht="32.1" customHeight="1">
      <c r="B256" s="615"/>
      <c r="C256" s="664">
        <v>1750</v>
      </c>
      <c r="D256" s="614">
        <f t="shared" si="65"/>
        <v>0</v>
      </c>
      <c r="E256" s="318" t="str">
        <f>VLOOKUP("[Stk]",Sprachindex!$A:$Z,Haftungsausschluß!$O$6,FALSE)</f>
        <v>[Stk]</v>
      </c>
      <c r="F256" s="318" t="str">
        <f>IF($L$14=1,Preisliste!$E234,Preisliste!$F234)</f>
        <v>H501652</v>
      </c>
      <c r="G256" s="988" t="str">
        <f>VLOOKUP("Steher VARIO 75° 50-1750 mm (Anfertigung auf Bestellung)",Sprachindex!$A:$Z,Haftungsausschluß!$O$6,FALSE)</f>
        <v>Steher VARIO 75° 50-1750 mm (Anfertigung auf Bestellung)</v>
      </c>
      <c r="H256" s="989"/>
      <c r="I256" s="989"/>
      <c r="J256" s="989"/>
      <c r="K256" s="989"/>
      <c r="L256" s="989"/>
      <c r="M256" s="990"/>
      <c r="N256" s="557"/>
      <c r="O256" s="643">
        <f t="shared" si="66"/>
        <v>0</v>
      </c>
      <c r="P256" s="324"/>
      <c r="Q256" s="657"/>
      <c r="R256" s="323"/>
      <c r="S256" s="427"/>
      <c r="T256" s="427"/>
      <c r="U256" s="427"/>
      <c r="V256" s="427"/>
      <c r="W256" s="427"/>
      <c r="X256" s="427"/>
      <c r="Y256" s="427"/>
      <c r="Z256" s="427"/>
      <c r="AA256" s="427"/>
      <c r="AB256" s="427"/>
      <c r="AC256" s="427"/>
      <c r="AD256" s="427"/>
      <c r="AE256" s="427"/>
      <c r="AF256" s="427"/>
      <c r="AG256" s="427"/>
      <c r="AH256" s="427"/>
      <c r="AI256" s="428"/>
    </row>
    <row r="257" spans="1:35" ht="32.1" customHeight="1">
      <c r="B257" s="615"/>
      <c r="C257" s="523">
        <v>2150</v>
      </c>
      <c r="D257" s="614">
        <f t="shared" si="65"/>
        <v>0</v>
      </c>
      <c r="E257" s="318" t="str">
        <f>VLOOKUP("[Stk]",Sprachindex!$A:$Z,Haftungsausschluß!$O$6,FALSE)</f>
        <v>[Stk]</v>
      </c>
      <c r="F257" s="318" t="str">
        <f>IF($L$14=1,Preisliste!$E235,Preisliste!$F235)</f>
        <v>H501653</v>
      </c>
      <c r="G257" s="988" t="str">
        <f>VLOOKUP("Steher VARIO 75° 50-2150 mm (Anfertigung auf Bestellung)",Sprachindex!$A:$Z,Haftungsausschluß!$O$6,FALSE)</f>
        <v>Steher VARIO 75° 50-2150 mm (Anfertigung auf Bestellung)</v>
      </c>
      <c r="H257" s="989"/>
      <c r="I257" s="989"/>
      <c r="J257" s="989"/>
      <c r="K257" s="989"/>
      <c r="L257" s="989"/>
      <c r="M257" s="990"/>
      <c r="N257" s="557"/>
      <c r="O257" s="643">
        <f t="shared" si="66"/>
        <v>0</v>
      </c>
      <c r="P257" s="324"/>
      <c r="Q257" s="657"/>
      <c r="R257" s="323"/>
      <c r="S257" s="427"/>
      <c r="T257" s="427"/>
      <c r="U257" s="427"/>
      <c r="V257" s="427"/>
      <c r="W257" s="427"/>
      <c r="X257" s="427"/>
      <c r="Y257" s="427"/>
      <c r="Z257" s="427"/>
      <c r="AA257" s="427"/>
      <c r="AB257" s="427"/>
      <c r="AC257" s="427"/>
      <c r="AD257" s="427"/>
      <c r="AE257" s="427"/>
      <c r="AF257" s="427"/>
      <c r="AG257" s="427"/>
      <c r="AH257" s="427"/>
      <c r="AI257" s="428"/>
    </row>
    <row r="258" spans="1:35" ht="32.1" customHeight="1">
      <c r="B258" s="615"/>
      <c r="C258" s="523"/>
      <c r="D258" s="614">
        <f t="shared" si="65"/>
        <v>0</v>
      </c>
      <c r="E258" s="318" t="str">
        <f>VLOOKUP("[Stk]",Sprachindex!$A:$Z,Haftungsausschluß!$O$6,FALSE)</f>
        <v>[Stk]</v>
      </c>
      <c r="F258" s="318" t="str">
        <f>IF($L$14=1,Preisliste!$E236,Preisliste!$F236)</f>
        <v>-</v>
      </c>
      <c r="G258" s="988" t="str">
        <f>VLOOKUP("Steher VARIO 15° 80 Sonderlänge exkl. Dichtung, (Stangenware)",Sprachindex!$A:$Z,Haftungsausschluß!$O$6,FALSE)</f>
        <v>Steher VARIO 15° 80 Sonderlänge exkl. Dichtung, (Stangenware)</v>
      </c>
      <c r="H258" s="989"/>
      <c r="I258" s="989"/>
      <c r="J258" s="989"/>
      <c r="K258" s="989"/>
      <c r="L258" s="989"/>
      <c r="M258" s="990"/>
      <c r="N258" s="557"/>
      <c r="O258" s="643">
        <f t="shared" si="66"/>
        <v>0</v>
      </c>
      <c r="P258" s="324"/>
      <c r="Q258" s="709"/>
      <c r="R258" s="710"/>
      <c r="S258" s="427"/>
      <c r="T258" s="427"/>
      <c r="U258" s="427"/>
      <c r="V258" s="427"/>
      <c r="W258" s="427"/>
      <c r="X258" s="427"/>
      <c r="Y258" s="427"/>
      <c r="Z258" s="427"/>
      <c r="AA258" s="427"/>
      <c r="AB258" s="427"/>
      <c r="AC258" s="427"/>
      <c r="AD258" s="427"/>
      <c r="AE258" s="427"/>
      <c r="AF258" s="427"/>
      <c r="AG258" s="427"/>
      <c r="AH258" s="427"/>
      <c r="AI258" s="428"/>
    </row>
    <row r="259" spans="1:35" ht="32.1" customHeight="1">
      <c r="B259" s="615"/>
      <c r="C259" s="523"/>
      <c r="D259" s="614">
        <f t="shared" si="65"/>
        <v>0</v>
      </c>
      <c r="E259" s="318" t="str">
        <f>VLOOKUP("[Stk]",Sprachindex!$A:$Z,Haftungsausschluß!$O$6,FALSE)</f>
        <v>[Stk]</v>
      </c>
      <c r="F259" s="318" t="str">
        <f>IF($L$14=1,Preisliste!$E237,Preisliste!$F237)</f>
        <v>-</v>
      </c>
      <c r="G259" s="988" t="str">
        <f>VLOOKUP("Steher VARIO 30° 80 Sonderlänge exkl. Dichtung, (Stangenware)",Sprachindex!$A:$Z,Haftungsausschluß!$O$6,FALSE)</f>
        <v>Steher VARIO 30° 80 Sonderlänge exkl. Dichtung, (Stangenware)</v>
      </c>
      <c r="H259" s="989"/>
      <c r="I259" s="989"/>
      <c r="J259" s="989"/>
      <c r="K259" s="989"/>
      <c r="L259" s="989"/>
      <c r="M259" s="990"/>
      <c r="N259" s="557"/>
      <c r="O259" s="643">
        <f t="shared" si="66"/>
        <v>0</v>
      </c>
      <c r="P259" s="324"/>
      <c r="Q259" s="709"/>
      <c r="R259" s="710"/>
      <c r="S259" s="427"/>
      <c r="T259" s="427"/>
      <c r="U259" s="427"/>
      <c r="V259" s="427"/>
      <c r="W259" s="427"/>
      <c r="X259" s="427"/>
      <c r="Y259" s="427"/>
      <c r="Z259" s="427"/>
      <c r="AA259" s="427"/>
      <c r="AB259" s="427"/>
      <c r="AC259" s="427"/>
      <c r="AD259" s="427"/>
      <c r="AE259" s="427"/>
      <c r="AF259" s="427"/>
      <c r="AG259" s="427"/>
      <c r="AH259" s="427"/>
      <c r="AI259" s="428"/>
    </row>
    <row r="260" spans="1:35" ht="32.1" customHeight="1">
      <c r="B260" s="615"/>
      <c r="C260" s="523"/>
      <c r="D260" s="614">
        <f t="shared" si="65"/>
        <v>0</v>
      </c>
      <c r="E260" s="318" t="str">
        <f>VLOOKUP("[Stk]",Sprachindex!$A:$Z,Haftungsausschluß!$O$6,FALSE)</f>
        <v>[Stk]</v>
      </c>
      <c r="F260" s="318" t="str">
        <f>IF($L$14=1,Preisliste!$E238,Preisliste!$F238)</f>
        <v>-</v>
      </c>
      <c r="G260" s="988" t="str">
        <f>VLOOKUP("Steher VARIO 45° 80 Sonderlänge exkl. Dichtung, (Stangenware)",Sprachindex!$A:$Z,Haftungsausschluß!$O$6,FALSE)</f>
        <v>Steher VARIO 45° 80 Sonderlänge exkl. Dichtung, (Stangenware)</v>
      </c>
      <c r="H260" s="989"/>
      <c r="I260" s="989"/>
      <c r="J260" s="989"/>
      <c r="K260" s="989"/>
      <c r="L260" s="989"/>
      <c r="M260" s="990"/>
      <c r="N260" s="557"/>
      <c r="O260" s="643">
        <f t="shared" si="66"/>
        <v>0</v>
      </c>
      <c r="P260" s="324"/>
      <c r="Q260" s="709"/>
      <c r="R260" s="710"/>
      <c r="S260" s="427"/>
      <c r="T260" s="427"/>
      <c r="U260" s="427"/>
      <c r="V260" s="427"/>
      <c r="W260" s="427"/>
      <c r="X260" s="427"/>
      <c r="Y260" s="427"/>
      <c r="Z260" s="427"/>
      <c r="AA260" s="427"/>
      <c r="AB260" s="427"/>
      <c r="AC260" s="427"/>
      <c r="AD260" s="427"/>
      <c r="AE260" s="427"/>
      <c r="AF260" s="427"/>
      <c r="AG260" s="427"/>
      <c r="AH260" s="427"/>
      <c r="AI260" s="428"/>
    </row>
    <row r="261" spans="1:35" ht="32.1" customHeight="1">
      <c r="B261" s="615"/>
      <c r="C261" s="523"/>
      <c r="D261" s="614">
        <f t="shared" si="65"/>
        <v>0</v>
      </c>
      <c r="E261" s="318" t="str">
        <f>VLOOKUP("[Stk]",Sprachindex!$A:$Z,Haftungsausschluß!$O$6,FALSE)</f>
        <v>[Stk]</v>
      </c>
      <c r="F261" s="318" t="str">
        <f>IF($L$14=1,Preisliste!$E239,Preisliste!$F239)</f>
        <v>-</v>
      </c>
      <c r="G261" s="988" t="str">
        <f>VLOOKUP("Steher VARIO 60° 80 Sonderlänge exkl. Dichtung, (Stangenware)",Sprachindex!$A:$Z,Haftungsausschluß!$O$6,FALSE)</f>
        <v>Steher VARIO 60° 80 Sonderlänge exkl. Dichtung, (Stangenware)</v>
      </c>
      <c r="H261" s="989"/>
      <c r="I261" s="989"/>
      <c r="J261" s="989"/>
      <c r="K261" s="989"/>
      <c r="L261" s="989"/>
      <c r="M261" s="990"/>
      <c r="N261" s="557"/>
      <c r="O261" s="643">
        <f t="shared" si="66"/>
        <v>0</v>
      </c>
      <c r="P261" s="324"/>
      <c r="Q261" s="709"/>
      <c r="R261" s="710"/>
      <c r="S261" s="427"/>
      <c r="T261" s="427"/>
      <c r="U261" s="427"/>
      <c r="V261" s="427"/>
      <c r="W261" s="427"/>
      <c r="X261" s="427"/>
      <c r="Y261" s="427"/>
      <c r="Z261" s="427"/>
      <c r="AA261" s="427"/>
      <c r="AB261" s="427"/>
      <c r="AC261" s="427"/>
      <c r="AD261" s="427"/>
      <c r="AE261" s="427"/>
      <c r="AF261" s="427"/>
      <c r="AG261" s="427"/>
      <c r="AH261" s="427"/>
      <c r="AI261" s="428"/>
    </row>
    <row r="262" spans="1:35" ht="32.1" customHeight="1">
      <c r="B262" s="615"/>
      <c r="C262" s="523">
        <v>2720</v>
      </c>
      <c r="D262" s="614">
        <f t="shared" si="65"/>
        <v>0</v>
      </c>
      <c r="E262" s="318" t="str">
        <f>VLOOKUP("[Stk]",Sprachindex!$A:$Z,Haftungsausschluß!$O$6,FALSE)</f>
        <v>[Stk]</v>
      </c>
      <c r="F262" s="318" t="str">
        <f>IF($L$14=1,Preisliste!$E240,Preisliste!$F240)</f>
        <v>-</v>
      </c>
      <c r="G262" s="988" t="str">
        <f>VLOOKUP("Steher VARIO 15° 50 Sonderlänge exkl. Dichtung, (Stangenware)",Sprachindex!$A:$Z,Haftungsausschluß!$O$6,FALSE)</f>
        <v>Steher VARIO 15° 50 Sonderlänge exkl. Dichtung, (Stangenware)</v>
      </c>
      <c r="H262" s="989"/>
      <c r="I262" s="989"/>
      <c r="J262" s="989"/>
      <c r="K262" s="989"/>
      <c r="L262" s="989"/>
      <c r="M262" s="990"/>
      <c r="N262" s="557"/>
      <c r="O262" s="643">
        <f t="shared" si="66"/>
        <v>0</v>
      </c>
      <c r="P262" s="324"/>
      <c r="Q262" s="709"/>
      <c r="R262" s="710"/>
      <c r="S262" s="427"/>
      <c r="T262" s="427"/>
      <c r="U262" s="427"/>
      <c r="V262" s="427"/>
      <c r="W262" s="427"/>
      <c r="X262" s="427"/>
      <c r="Y262" s="427"/>
      <c r="Z262" s="427"/>
      <c r="AA262" s="427"/>
      <c r="AB262" s="427"/>
      <c r="AC262" s="427"/>
      <c r="AD262" s="427"/>
      <c r="AE262" s="427"/>
      <c r="AF262" s="427"/>
      <c r="AG262" s="427"/>
      <c r="AH262" s="427"/>
      <c r="AI262" s="428"/>
    </row>
    <row r="263" spans="1:35" ht="32.1" customHeight="1">
      <c r="B263" s="615"/>
      <c r="C263" s="523"/>
      <c r="D263" s="614">
        <f t="shared" si="65"/>
        <v>0</v>
      </c>
      <c r="E263" s="318" t="str">
        <f>VLOOKUP("[Stk]",Sprachindex!$A:$Z,Haftungsausschluß!$O$6,FALSE)</f>
        <v>[Stk]</v>
      </c>
      <c r="F263" s="318" t="str">
        <f>IF($L$14=1,Preisliste!$E241,Preisliste!$F241)</f>
        <v>-</v>
      </c>
      <c r="G263" s="988" t="str">
        <f>VLOOKUP("Steher VARIO 30° 50 Sonderlänge exkl. Dichtung, (Stangenware)",Sprachindex!$A:$Z,Haftungsausschluß!$O$6,FALSE)</f>
        <v>Steher VARIO 30° 50 Sonderlänge exkl. Dichtung, (Stangenware)</v>
      </c>
      <c r="H263" s="989"/>
      <c r="I263" s="989"/>
      <c r="J263" s="989"/>
      <c r="K263" s="989"/>
      <c r="L263" s="989"/>
      <c r="M263" s="990"/>
      <c r="N263" s="557"/>
      <c r="O263" s="643">
        <f t="shared" si="66"/>
        <v>0</v>
      </c>
      <c r="P263" s="324"/>
      <c r="Q263" s="709"/>
      <c r="R263" s="710"/>
      <c r="S263" s="427"/>
      <c r="T263" s="427"/>
      <c r="U263" s="427"/>
      <c r="V263" s="427"/>
      <c r="W263" s="427"/>
      <c r="X263" s="427"/>
      <c r="Y263" s="427"/>
      <c r="Z263" s="427"/>
      <c r="AA263" s="427"/>
      <c r="AB263" s="427"/>
      <c r="AC263" s="427"/>
      <c r="AD263" s="427"/>
      <c r="AE263" s="427"/>
      <c r="AF263" s="427"/>
      <c r="AG263" s="427"/>
      <c r="AH263" s="427"/>
      <c r="AI263" s="428"/>
    </row>
    <row r="264" spans="1:35" ht="32.1" customHeight="1">
      <c r="B264" s="615"/>
      <c r="C264" s="523"/>
      <c r="D264" s="614">
        <f t="shared" si="65"/>
        <v>0</v>
      </c>
      <c r="E264" s="318" t="str">
        <f>VLOOKUP("[Stk]",Sprachindex!$A:$Z,Haftungsausschluß!$O$6,FALSE)</f>
        <v>[Stk]</v>
      </c>
      <c r="F264" s="318" t="str">
        <f>IF($L$14=1,Preisliste!$E242,Preisliste!$F242)</f>
        <v>-</v>
      </c>
      <c r="G264" s="988" t="str">
        <f>VLOOKUP("Steher VARIO 45° 50 Sonderlänge exkl. Dichtung, (Stangenware)",Sprachindex!$A:$Z,Haftungsausschluß!$O$6,FALSE)</f>
        <v>Steher VARIO 45° 50 Sonderlänge exkl. Dichtung, (Stangenware)</v>
      </c>
      <c r="H264" s="989"/>
      <c r="I264" s="989"/>
      <c r="J264" s="989"/>
      <c r="K264" s="989"/>
      <c r="L264" s="989"/>
      <c r="M264" s="990"/>
      <c r="N264" s="557"/>
      <c r="O264" s="643">
        <f t="shared" si="66"/>
        <v>0</v>
      </c>
      <c r="P264" s="324"/>
      <c r="Q264" s="709"/>
      <c r="R264" s="710"/>
      <c r="S264" s="427"/>
      <c r="T264" s="427"/>
      <c r="U264" s="427"/>
      <c r="V264" s="427"/>
      <c r="W264" s="427"/>
      <c r="X264" s="427"/>
      <c r="Y264" s="427"/>
      <c r="Z264" s="427"/>
      <c r="AA264" s="427"/>
      <c r="AB264" s="427"/>
      <c r="AC264" s="427"/>
      <c r="AD264" s="427"/>
      <c r="AE264" s="427"/>
      <c r="AF264" s="427"/>
      <c r="AG264" s="427"/>
      <c r="AH264" s="427"/>
      <c r="AI264" s="428"/>
    </row>
    <row r="265" spans="1:35" ht="32.1" customHeight="1">
      <c r="B265" s="615"/>
      <c r="C265" s="523"/>
      <c r="D265" s="614">
        <f t="shared" si="65"/>
        <v>0</v>
      </c>
      <c r="E265" s="318" t="str">
        <f>VLOOKUP("[Stk]",Sprachindex!$A:$Z,Haftungsausschluß!$O$6,FALSE)</f>
        <v>[Stk]</v>
      </c>
      <c r="F265" s="318" t="str">
        <f>IF($L$14=1,Preisliste!$E243,Preisliste!$F243)</f>
        <v>-</v>
      </c>
      <c r="G265" s="988" t="str">
        <f>VLOOKUP("Steher VARIO 60° 50 Sonderlänge exkl. Dichtung, (Stangenware)",Sprachindex!$A:$Z,Haftungsausschluß!$O$6,FALSE)</f>
        <v>Steher VARIO 60° 50 Sonderlänge exkl. Dichtung, (Stangenware)</v>
      </c>
      <c r="H265" s="989"/>
      <c r="I265" s="989"/>
      <c r="J265" s="989"/>
      <c r="K265" s="989"/>
      <c r="L265" s="989"/>
      <c r="M265" s="990"/>
      <c r="N265" s="557"/>
      <c r="O265" s="643">
        <f t="shared" si="66"/>
        <v>0</v>
      </c>
      <c r="P265" s="324"/>
      <c r="Q265" s="709"/>
      <c r="R265" s="710"/>
      <c r="S265" s="427"/>
      <c r="T265" s="427"/>
      <c r="U265" s="427"/>
      <c r="V265" s="427"/>
      <c r="W265" s="427"/>
      <c r="X265" s="427"/>
      <c r="Y265" s="427"/>
      <c r="Z265" s="427"/>
      <c r="AA265" s="427"/>
      <c r="AB265" s="427"/>
      <c r="AC265" s="427"/>
      <c r="AD265" s="427"/>
      <c r="AE265" s="427"/>
      <c r="AF265" s="427"/>
      <c r="AG265" s="427"/>
      <c r="AH265" s="427"/>
      <c r="AI265" s="428"/>
    </row>
    <row r="266" spans="1:35" ht="32.1" customHeight="1">
      <c r="B266" s="615"/>
      <c r="C266" s="523"/>
      <c r="D266" s="614">
        <f t="shared" si="65"/>
        <v>0</v>
      </c>
      <c r="E266" s="318" t="str">
        <f>VLOOKUP("[Stk]",Sprachindex!$A:$Z,Haftungsausschluß!$O$6,FALSE)</f>
        <v>[Stk]</v>
      </c>
      <c r="F266" s="318" t="str">
        <f>IF($L$14=1,Preisliste!$E244,Preisliste!$F244)</f>
        <v>-</v>
      </c>
      <c r="G266" s="988" t="str">
        <f>VLOOKUP("Steher VARIO 75° 50 Sonderlänge exkl. Dichtung, (Stangenware)",Sprachindex!$A:$Z,Haftungsausschluß!$O$6,FALSE)</f>
        <v>Steher VARIO 75° 50 Sonderlänge exkl. Dichtung, (Stangenware)</v>
      </c>
      <c r="H266" s="989"/>
      <c r="I266" s="989"/>
      <c r="J266" s="989"/>
      <c r="K266" s="989"/>
      <c r="L266" s="989"/>
      <c r="M266" s="990"/>
      <c r="N266" s="557"/>
      <c r="O266" s="643">
        <f t="shared" si="66"/>
        <v>0</v>
      </c>
      <c r="P266" s="324"/>
      <c r="Q266" s="709"/>
      <c r="R266" s="710"/>
      <c r="S266" s="427"/>
      <c r="T266" s="427"/>
      <c r="U266" s="427"/>
      <c r="V266" s="427"/>
      <c r="W266" s="427"/>
      <c r="X266" s="427"/>
      <c r="Y266" s="427"/>
      <c r="Z266" s="427"/>
      <c r="AA266" s="427"/>
      <c r="AB266" s="427"/>
      <c r="AC266" s="427"/>
      <c r="AD266" s="427"/>
      <c r="AE266" s="427"/>
      <c r="AF266" s="427"/>
      <c r="AG266" s="427"/>
      <c r="AH266" s="427"/>
      <c r="AI266" s="428"/>
    </row>
    <row r="267" spans="1:35" ht="32.1" customHeight="1" thickBot="1">
      <c r="B267" s="682"/>
      <c r="C267" s="683"/>
      <c r="D267" s="684"/>
      <c r="E267" s="685"/>
      <c r="F267" s="685"/>
      <c r="G267" s="972"/>
      <c r="H267" s="972"/>
      <c r="I267" s="972"/>
      <c r="J267" s="972"/>
      <c r="K267" s="972"/>
      <c r="L267" s="972"/>
      <c r="M267" s="972"/>
      <c r="N267" s="686"/>
      <c r="O267" s="687"/>
      <c r="P267" s="324"/>
      <c r="Q267" s="709"/>
      <c r="R267" s="710"/>
      <c r="S267" s="427"/>
      <c r="T267" s="427"/>
      <c r="U267" s="427"/>
      <c r="V267" s="427"/>
      <c r="W267" s="427"/>
      <c r="X267" s="427"/>
      <c r="Y267" s="427"/>
      <c r="Z267" s="427"/>
      <c r="AA267" s="427"/>
      <c r="AB267" s="427"/>
      <c r="AC267" s="427"/>
      <c r="AD267" s="427"/>
      <c r="AE267" s="427"/>
      <c r="AF267" s="427"/>
      <c r="AG267" s="427"/>
      <c r="AH267" s="427"/>
      <c r="AI267" s="428"/>
    </row>
    <row r="268" spans="1:35" s="533" customFormat="1" ht="17.25" customHeight="1">
      <c r="A268" s="288"/>
      <c r="B268" s="330">
        <v>1</v>
      </c>
      <c r="C268" s="331"/>
      <c r="D268" s="331"/>
      <c r="E268" s="331"/>
      <c r="F268" s="332"/>
      <c r="G268" s="332"/>
      <c r="H268" s="332"/>
      <c r="I268" s="332"/>
      <c r="J268" s="332"/>
      <c r="K268" s="332"/>
      <c r="L268" s="332"/>
      <c r="M268" s="332"/>
      <c r="N268" s="705" t="str">
        <f>IF(AND(Q4=1,OR(Q5=1,AJ205&gt;=300),(Q7-O208-O209-O210)&gt;=Preisliste!G176,P11=0),AA268,AB268)</f>
        <v>Summe</v>
      </c>
      <c r="O268" s="706">
        <f>Q7</f>
        <v>0</v>
      </c>
      <c r="P268" s="688"/>
      <c r="Q268" s="314"/>
      <c r="R268" s="314"/>
      <c r="S268" s="348"/>
      <c r="T268" s="288"/>
      <c r="U268" s="288"/>
      <c r="V268" s="288"/>
      <c r="W268" s="288"/>
      <c r="X268" s="288"/>
      <c r="Y268" s="288"/>
      <c r="Z268" s="288"/>
      <c r="AA268" s="711" t="str">
        <f>VLOOKUP("Endsumme exkl. MwSt.",Sprachindex!$A:$Z,Haftungsausschluß!$O$6,FALSE)</f>
        <v>Endsumme exkl. MwSt.</v>
      </c>
      <c r="AB268" s="711" t="str">
        <f>VLOOKUP("Summe",Sprachindex!$A:$Z,Haftungsausschluß!$O$6,FALSE)</f>
        <v>Summe</v>
      </c>
      <c r="AC268" s="712"/>
      <c r="AD268" s="712"/>
      <c r="AE268" s="356"/>
      <c r="AF268" s="707"/>
      <c r="AG268" s="707"/>
      <c r="AH268" s="288"/>
      <c r="AI268" s="548"/>
    </row>
    <row r="269" spans="1:35" s="533" customFormat="1" ht="16.8">
      <c r="A269" s="288"/>
      <c r="B269" s="333">
        <v>1</v>
      </c>
      <c r="C269" s="334"/>
      <c r="D269" s="335"/>
      <c r="E269" s="334"/>
      <c r="F269" s="336"/>
      <c r="G269" s="336"/>
      <c r="H269" s="336"/>
      <c r="I269" s="336"/>
      <c r="J269" s="336"/>
      <c r="K269" s="336"/>
      <c r="L269" s="336"/>
      <c r="M269" s="336"/>
      <c r="N269" s="707" t="str">
        <f>IF(N268=AB268,IF(P11&lt;&gt;0,AA269,IF((Q7-O208-O209-O210)&lt;Preisliste!G176,AB269,IF(AND(Q5=2,AJ205&lt;Preisliste!G171),AC269,IF(Q4=2,AD269,0)))),"")</f>
        <v>Rabatt -10 %</v>
      </c>
      <c r="O269" s="708">
        <f>IF(N269=AA269,O268/100*P11,IF(N269=AB269,Preisliste!G175,IF(N269=AC269,Preisliste!G170,IF(N269=AD269,O268/100*Haftungsausschluß!J31,""))))</f>
        <v>0</v>
      </c>
      <c r="P269" s="689">
        <f>IF(Haftungsausschluß!$O$6=7,27,20)</f>
        <v>20</v>
      </c>
      <c r="Q269" s="314"/>
      <c r="R269" s="314"/>
      <c r="S269" s="348"/>
      <c r="T269" s="288"/>
      <c r="U269" s="288"/>
      <c r="V269" s="288"/>
      <c r="W269" s="288"/>
      <c r="X269" s="288"/>
      <c r="Y269" s="288"/>
      <c r="Z269" s="288"/>
      <c r="AA269" s="711" t="str">
        <f>VLOOKUP("Rabatt",Sprachindex!$A:$Z,Haftungsausschluß!$O$6,FALSE) &amp; " " &amp; P11&amp; " %"</f>
        <v>Rabatt -10 %</v>
      </c>
      <c r="AB269" s="711" t="str">
        <f>VLOOKUP("Frachtkosten",Sprachindex!$A:$Z,Haftungsausschluß!$O$6,FALSE)</f>
        <v>Frachtkosten</v>
      </c>
      <c r="AC269" s="711" t="str">
        <f>VLOOKUP("Beschichtungspauschale",Sprachindex!$A:$Z,Haftungsausschluß!$O$6,FALSE)</f>
        <v>Beschichtungspauschale</v>
      </c>
      <c r="AD269" s="711" t="str">
        <f>"+ " &amp;Haftungsausschluß!J31 &amp; " % " &amp; VLOOKUP("MwSt.",Sprachindex!$A:$Z,Haftungsausschluß!$O$6,FALSE)</f>
        <v>+ 20 % MwSt.</v>
      </c>
      <c r="AE269" s="713"/>
      <c r="AF269" s="707"/>
      <c r="AG269" s="707"/>
      <c r="AH269" s="288"/>
      <c r="AI269" s="547"/>
    </row>
    <row r="270" spans="1:35" s="533" customFormat="1" ht="16.8">
      <c r="A270" s="288"/>
      <c r="B270" s="333">
        <v>1</v>
      </c>
      <c r="C270" s="334"/>
      <c r="D270" s="334"/>
      <c r="E270" s="334"/>
      <c r="F270" s="336"/>
      <c r="G270" s="336"/>
      <c r="H270" s="336"/>
      <c r="I270" s="336"/>
      <c r="J270" s="336"/>
      <c r="K270" s="336"/>
      <c r="L270" s="336"/>
      <c r="M270" s="336"/>
      <c r="N270" s="707" t="str">
        <f>IF(AND(Q4=1,AND(Q5=2,AJ205&lt;Preisliste!G171),N269&lt;&gt;AC269),AC270,IF(AND(Q4=1,(Q7-O208-O209-O210)&lt;Preisliste!G176,N269&lt;&gt;AB269),AB270,IF(AND(Q4=1,OR(N269=AA269,N269=AB269,N269=AC269)),AA270,IF(AND(N269=AD269,Q4=2),AF270,IF(OR(AND((Q7-O208-O209-O210)&lt;Preisliste!G176,P11=0,OR(Q5=1,AND(Q5=2,Q6&gt;Preisliste!G171)))),AE270,IF(OR(AND((Q7-O208-O209-O210)&gt;=Preisliste!G176,P11&lt;&gt;0,OR(Q5=1,AND(Q5=2,Q6&gt;Preisliste!G171)))),AE270,IF(OR(AND((Q7-O208-O209-O210)&gt;=Preisliste!G176,P11=0,AND(Q5=2,Q6&lt;Preisliste!G171))),AE270,IF(OR(AND((Q7-O208-O209-O210)&gt;=Preisliste!G176,P11&lt;&gt;0,AND(Q5=2,Q6&lt;Preisliste!G171))),AC270,IF(OR(AND((Q7-O208-O209-O210)&lt;Preisliste!G176,P11&lt;&gt;0,OR(Q5=1,AND(Q5=2,Q6&gt;Preisliste!G171)))),AB270,IF(OR(AND((Q7-O208-O209-O210)&lt;Preisliste!G176,P11&lt;&gt;0,AND(Q5=2,Q6&lt;Preisliste!G171))),AC270,IF(OR(AND((Q7-O208-O209-O210)&lt;Preisliste!G176,P11=0,AND(Q5=2,Q6&lt;Preisliste!G171))),AC270,"")))))))))))</f>
        <v>Beschichtungspauschale</v>
      </c>
      <c r="O270" s="708">
        <f>IF(N270=AA270,O268+O269,IF(N270=AC270,Preisliste!G170,IF(N270=AB270,Preisliste!G175,IF(N270=AD270,(O268+O269)/100*Haftungsausschluß!J31,IF(N270=AF270,O268+O269,IF(N270=AE270,O268+O269,""))))))</f>
        <v>90</v>
      </c>
      <c r="P270" s="690"/>
      <c r="Q270" s="314"/>
      <c r="R270" s="314"/>
      <c r="S270" s="348"/>
      <c r="T270" s="288"/>
      <c r="U270" s="288"/>
      <c r="V270" s="288"/>
      <c r="W270" s="288"/>
      <c r="X270" s="288"/>
      <c r="Y270" s="288"/>
      <c r="Z270" s="288"/>
      <c r="AA270" s="711" t="str">
        <f>VLOOKUP("Endsumme exkl. MwSt.",Sprachindex!$A:$Z,Haftungsausschluß!$O$6,FALSE)</f>
        <v>Endsumme exkl. MwSt.</v>
      </c>
      <c r="AB270" s="711" t="str">
        <f>VLOOKUP("Frachtkosten",Sprachindex!$A:$Z,Haftungsausschluß!$O$6,FALSE)</f>
        <v>Frachtkosten</v>
      </c>
      <c r="AC270" s="711" t="str">
        <f>VLOOKUP("Beschichtungspauschale",Sprachindex!$A:$Z,Haftungsausschluß!$O$6,FALSE)</f>
        <v>Beschichtungspauschale</v>
      </c>
      <c r="AD270" s="711" t="str">
        <f>"+ " &amp;Haftungsausschluß!J31 &amp; " % " &amp; VLOOKUP("MwSt.",Sprachindex!$A:$Z,Haftungsausschluß!$O$6,FALSE)</f>
        <v>+ 20 % MwSt.</v>
      </c>
      <c r="AE270" s="711" t="str">
        <f>VLOOKUP("Zwischensumme",Sprachindex!$A:$Z,Haftungsausschluß!$O$6,FALSE)</f>
        <v>Zwischensumme</v>
      </c>
      <c r="AF270" s="713" t="str">
        <f>VLOOKUP("Endsumme inkl. MwSt.",Sprachindex!$A:$Z,Haftungsausschluß!$O$6,FALSE)</f>
        <v>Endsumme inkl. MwSt.</v>
      </c>
      <c r="AG270" s="707"/>
      <c r="AH270" s="288"/>
      <c r="AI270" s="547"/>
    </row>
    <row r="271" spans="1:35" s="533" customFormat="1" ht="14.25" customHeight="1">
      <c r="A271" s="288"/>
      <c r="B271" s="333">
        <v>1</v>
      </c>
      <c r="C271" s="334"/>
      <c r="D271" s="334"/>
      <c r="E271" s="334"/>
      <c r="F271" s="336"/>
      <c r="G271" s="336"/>
      <c r="H271" s="336"/>
      <c r="I271" s="336"/>
      <c r="J271" s="336"/>
      <c r="K271" s="336"/>
      <c r="L271" s="336"/>
      <c r="M271" s="336"/>
      <c r="N271" s="707" t="str">
        <f>IF(AND(P11&lt;&gt;0,AND(Q5=2,Q6&lt;Preisliste!G171),(Q7-O208-O209-O210)&lt;Preisliste!G176),AB271,IF(AND(Q4=1,OR(N270=AC270,N270=AB270)),AA271,IF(N270=AD270,AE271,IF(AND(N270=AC270,O267&gt;=Preisliste!G176),AC271,IF(OR(AND((Q7-O208-O209-O210)&lt;Preisliste!G176,P11&lt;&gt;0,OR(Q5=1,AND(Q5=2,Q6&gt;Preisliste!G171)))),AE270,IF(OR(AND((Q7-O208-O209-O210)&lt;Preisliste!G176,P11=0,AND(Q5=2,Q6&lt;Preisliste!G171))),AE270,IF(N270=AE270,AC271,IF(AND(N269=AA269,N270=AC270),AD271,""))))))))</f>
        <v>Frachtkosten</v>
      </c>
      <c r="O271" s="708">
        <f>IF(N271=AA271,O268+O269+O270,IF(N271=AB271,Preisliste!G175,IF(N271=AE271,O268+O269+O270,IF(N271=AC271,O270/100*Haftungsausschluß!J31,IF(N271=AD271,O268+O269+O270,"")))))</f>
        <v>100</v>
      </c>
      <c r="P271" s="689"/>
      <c r="Q271" s="314"/>
      <c r="R271" s="314"/>
      <c r="S271" s="348"/>
      <c r="T271" s="288"/>
      <c r="U271" s="288"/>
      <c r="V271" s="288"/>
      <c r="W271" s="288"/>
      <c r="X271" s="288"/>
      <c r="Y271" s="288"/>
      <c r="Z271" s="288"/>
      <c r="AA271" s="711" t="str">
        <f>VLOOKUP("Endsumme exkl. MwSt.",Sprachindex!$A:$Z,Haftungsausschluß!$O$6,FALSE)</f>
        <v>Endsumme exkl. MwSt.</v>
      </c>
      <c r="AB271" s="711" t="str">
        <f>VLOOKUP("Frachtkosten",Sprachindex!$A:$Z,Haftungsausschluß!$O$6,FALSE)</f>
        <v>Frachtkosten</v>
      </c>
      <c r="AC271" s="711" t="str">
        <f>"+ " &amp;Haftungsausschluß!J31 &amp; " % " &amp; VLOOKUP("MwSt.",Sprachindex!$A:$Z,Haftungsausschluß!$O$6,FALSE)</f>
        <v>+ 20 % MwSt.</v>
      </c>
      <c r="AD271" s="711" t="str">
        <f>VLOOKUP("Zwischensumme",Sprachindex!$A:$Z,Haftungsausschluß!$O$6,FALSE)</f>
        <v>Zwischensumme</v>
      </c>
      <c r="AE271" s="713" t="str">
        <f>VLOOKUP("Endsumme inkl. MwSt.",Sprachindex!$A:$Z,Haftungsausschluß!$O$6,FALSE)</f>
        <v>Endsumme inkl. MwSt.</v>
      </c>
      <c r="AF271" s="707"/>
      <c r="AG271" s="707"/>
      <c r="AH271" s="288"/>
      <c r="AI271" s="547"/>
    </row>
    <row r="272" spans="1:35" s="533" customFormat="1" ht="14.25" customHeight="1">
      <c r="A272" s="288"/>
      <c r="B272" s="333">
        <v>1</v>
      </c>
      <c r="C272" s="334"/>
      <c r="D272" s="334"/>
      <c r="E272" s="334"/>
      <c r="F272" s="336"/>
      <c r="G272" s="336"/>
      <c r="H272" s="336"/>
      <c r="I272" s="336"/>
      <c r="J272" s="336"/>
      <c r="K272" s="336"/>
      <c r="L272" s="336"/>
      <c r="M272" s="336"/>
      <c r="N272" s="707" t="str">
        <f>IF(AND(Q4=1,N271=AB270),AA271,IF(N271=AC271,AD272,IF(OR(AND((Q7-O208-O209-O210)&lt;Preisliste!G176,P11&lt;&gt;0,AND(Q5=2,Q6&lt;Preisliste!G171))),AC272,IF(N271=AD271,AB272,""))))</f>
        <v>Endsumme exkl. MwSt.</v>
      </c>
      <c r="O272" s="708">
        <f>IF(N272=AA272,O268+O269+O270+O271,IF(N272=AD272,O270+O271,IF(N272=AB272,O271/100*Haftungsausschluß!J31,IF(N272=AC272,O268+O269+O270+O271,""))))</f>
        <v>190</v>
      </c>
      <c r="P272" s="689"/>
      <c r="Q272" s="314"/>
      <c r="R272" s="314"/>
      <c r="S272" s="348"/>
      <c r="T272" s="288"/>
      <c r="U272" s="288"/>
      <c r="V272" s="288"/>
      <c r="W272" s="288"/>
      <c r="X272" s="288"/>
      <c r="Y272" s="288"/>
      <c r="Z272" s="288"/>
      <c r="AA272" s="711" t="str">
        <f>VLOOKUP("Endsumme exkl. MwSt.",Sprachindex!$A:$Z,Haftungsausschluß!$O$6,FALSE)</f>
        <v>Endsumme exkl. MwSt.</v>
      </c>
      <c r="AB272" s="711" t="str">
        <f>"+ " &amp;Haftungsausschluß!J31 &amp; " % " &amp; VLOOKUP("MwSt.",Sprachindex!$A:$Z,Haftungsausschluß!$O$6,FALSE)</f>
        <v>+ 20 % MwSt.</v>
      </c>
      <c r="AC272" s="711" t="str">
        <f>VLOOKUP("Zwischensumme",Sprachindex!$A:$Z,Haftungsausschluß!$O$6,FALSE)</f>
        <v>Zwischensumme</v>
      </c>
      <c r="AD272" s="713" t="str">
        <f>VLOOKUP("Endsumme inkl. MwSt.",Sprachindex!$A:$Z,Haftungsausschluß!$O$6,FALSE)</f>
        <v>Endsumme inkl. MwSt.</v>
      </c>
      <c r="AE272" s="356"/>
      <c r="AF272" s="707"/>
      <c r="AG272" s="707"/>
      <c r="AH272" s="288"/>
      <c r="AI272" s="547"/>
    </row>
    <row r="273" spans="1:35" s="533" customFormat="1" ht="16.8">
      <c r="A273" s="288"/>
      <c r="B273" s="333">
        <v>1</v>
      </c>
      <c r="C273" s="337"/>
      <c r="D273" s="337"/>
      <c r="E273" s="337"/>
      <c r="F273" s="338"/>
      <c r="G273" s="338"/>
      <c r="H273" s="338"/>
      <c r="I273" s="338"/>
      <c r="J273" s="338"/>
      <c r="K273" s="338"/>
      <c r="L273" s="338"/>
      <c r="M273" s="338"/>
      <c r="N273" s="716" t="str">
        <f>IF(N272=AC272,AA273,IF(N272=AC272,AC273,IF(N272=AB272,AB273,"")))</f>
        <v/>
      </c>
      <c r="O273" s="708" t="str">
        <f>IF(N273=AB273,O271+O272,IF(N273=AA273,O272/100*Haftungsausschluß!J31,""))</f>
        <v/>
      </c>
      <c r="P273" s="691"/>
      <c r="Q273" s="314"/>
      <c r="R273" s="314"/>
      <c r="S273" s="348"/>
      <c r="T273" s="288"/>
      <c r="U273" s="288"/>
      <c r="V273" s="288"/>
      <c r="W273" s="288"/>
      <c r="X273" s="288"/>
      <c r="Y273" s="288"/>
      <c r="Z273" s="288"/>
      <c r="AA273" s="711" t="str">
        <f>"+ " &amp;Haftungsausschluß!J31 &amp; " % " &amp; VLOOKUP("MwSt.",Sprachindex!$A:$Z,Haftungsausschluß!$O$6,FALSE)</f>
        <v>+ 20 % MwSt.</v>
      </c>
      <c r="AB273" s="713" t="str">
        <f>VLOOKUP("Endsumme inkl. MwSt.",Sprachindex!$A:$Z,Haftungsausschluß!$O$6,FALSE)</f>
        <v>Endsumme inkl. MwSt.</v>
      </c>
      <c r="AC273" s="713"/>
      <c r="AD273" s="712"/>
      <c r="AE273" s="356"/>
      <c r="AF273" s="707"/>
      <c r="AG273" s="707"/>
      <c r="AH273" s="288"/>
      <c r="AI273" s="532"/>
    </row>
    <row r="274" spans="1:35" s="533" customFormat="1" ht="16.8">
      <c r="A274" s="288"/>
      <c r="B274" s="333">
        <v>1</v>
      </c>
      <c r="C274" s="337"/>
      <c r="D274" s="337"/>
      <c r="E274" s="337"/>
      <c r="F274" s="338"/>
      <c r="G274" s="338"/>
      <c r="H274" s="338"/>
      <c r="I274" s="338"/>
      <c r="J274" s="338"/>
      <c r="K274" s="338"/>
      <c r="L274" s="338"/>
      <c r="M274" s="338"/>
      <c r="N274" s="716" t="str">
        <f>IF(N273=AA273,AA274,"")</f>
        <v/>
      </c>
      <c r="O274" s="708" t="str">
        <f>IF(N274=AA274,O272+O273,"")</f>
        <v/>
      </c>
      <c r="P274" s="691"/>
      <c r="Q274" s="314"/>
      <c r="R274" s="314"/>
      <c r="S274" s="348"/>
      <c r="T274" s="288"/>
      <c r="U274" s="288"/>
      <c r="V274" s="288"/>
      <c r="W274" s="288"/>
      <c r="X274" s="288"/>
      <c r="Y274" s="288"/>
      <c r="Z274" s="288"/>
      <c r="AA274" s="712" t="str">
        <f>VLOOKUP("Endsumme inkl. MwSt.",Sprachindex!$A:$Z,Haftungsausschluß!$O$6,FALSE)</f>
        <v>Endsumme inkl. MwSt.</v>
      </c>
      <c r="AB274" s="713"/>
      <c r="AC274" s="713"/>
      <c r="AD274" s="712"/>
      <c r="AE274" s="356"/>
      <c r="AF274" s="707"/>
      <c r="AG274" s="707"/>
      <c r="AH274" s="288"/>
      <c r="AI274" s="532"/>
    </row>
    <row r="275" spans="1:35" s="533" customFormat="1" ht="16.8">
      <c r="A275" s="288"/>
      <c r="B275" s="973" t="str">
        <f>IF(Erhebungsbogen!C59&gt;0,Erhebungsbogen!C59," ")</f>
        <v xml:space="preserve"> </v>
      </c>
      <c r="C275" s="973"/>
      <c r="D275" s="973"/>
      <c r="E275" s="973"/>
      <c r="F275" s="973"/>
      <c r="G275" s="973"/>
      <c r="H275" s="973"/>
      <c r="I275" s="973"/>
      <c r="J275" s="973"/>
      <c r="K275" s="973"/>
      <c r="L275" s="973"/>
      <c r="M275" s="973"/>
      <c r="N275" s="973"/>
      <c r="O275" s="973"/>
      <c r="P275" s="677"/>
      <c r="Q275" s="530"/>
      <c r="R275" s="530"/>
      <c r="S275" s="531"/>
      <c r="T275" s="532"/>
      <c r="U275" s="532"/>
      <c r="V275" s="532"/>
      <c r="W275" s="532"/>
      <c r="X275" s="532"/>
      <c r="Y275" s="532"/>
      <c r="Z275" s="532"/>
      <c r="AA275" s="532"/>
      <c r="AB275" s="532"/>
      <c r="AC275" s="532"/>
      <c r="AD275" s="532"/>
      <c r="AE275" s="532"/>
      <c r="AG275" s="532"/>
      <c r="AH275" s="532"/>
      <c r="AI275" s="532"/>
    </row>
    <row r="276" spans="1:35" s="533" customFormat="1" ht="16.8">
      <c r="A276" s="288"/>
      <c r="B276" s="973" t="str">
        <f>IF(Erhebungsbogen!C61&gt;0,Erhebungsbogen!C61," ")</f>
        <v xml:space="preserve"> </v>
      </c>
      <c r="C276" s="973"/>
      <c r="D276" s="973"/>
      <c r="E276" s="973"/>
      <c r="F276" s="973"/>
      <c r="G276" s="973"/>
      <c r="H276" s="973"/>
      <c r="I276" s="973"/>
      <c r="J276" s="973"/>
      <c r="K276" s="973"/>
      <c r="L276" s="973"/>
      <c r="M276" s="973"/>
      <c r="N276" s="973"/>
      <c r="O276" s="973"/>
      <c r="P276" s="677"/>
      <c r="Q276" s="530"/>
      <c r="R276" s="530"/>
      <c r="S276" s="531"/>
      <c r="T276" s="532"/>
      <c r="U276" s="532"/>
      <c r="V276" s="532"/>
      <c r="W276" s="532"/>
      <c r="X276" s="532"/>
      <c r="Y276" s="532"/>
      <c r="Z276" s="532"/>
      <c r="AA276" s="532"/>
      <c r="AB276" s="532"/>
      <c r="AC276" s="532"/>
      <c r="AD276" s="532"/>
      <c r="AE276" s="532"/>
      <c r="AG276" s="532"/>
      <c r="AH276" s="532"/>
      <c r="AI276" s="532"/>
    </row>
    <row r="277" spans="1:35" s="533" customFormat="1" ht="16.8">
      <c r="A277" s="288"/>
      <c r="B277" s="973" t="str">
        <f>VLOOKUP("Hinweis: Angebotsgültigkeit 1 Monat; Lieferzeit auf Anfrage; kein Montagematerial enthalten",Sprachindex!A:Z,Haftungsausschluß!$O$6,FALSE)</f>
        <v>Hinweis: Angebotsgültigkeit 1 Monat; Lieferzeit auf Anfrage; kein Montagematerial enthalten</v>
      </c>
      <c r="C277" s="973"/>
      <c r="D277" s="973"/>
      <c r="E277" s="973"/>
      <c r="F277" s="973"/>
      <c r="G277" s="973"/>
      <c r="H277" s="973"/>
      <c r="I277" s="973"/>
      <c r="J277" s="973"/>
      <c r="K277" s="973"/>
      <c r="L277" s="973"/>
      <c r="M277" s="973"/>
      <c r="N277" s="973"/>
      <c r="O277" s="973"/>
      <c r="P277" s="691"/>
      <c r="Q277" s="530"/>
      <c r="R277" s="530"/>
      <c r="S277" s="531"/>
      <c r="T277" s="532"/>
      <c r="U277" s="532"/>
      <c r="V277" s="532"/>
      <c r="W277" s="532"/>
      <c r="X277" s="532"/>
      <c r="Y277" s="532"/>
      <c r="Z277" s="532"/>
      <c r="AA277" s="532"/>
      <c r="AB277" s="532"/>
      <c r="AC277" s="532"/>
      <c r="AD277" s="532"/>
      <c r="AE277" s="532"/>
      <c r="AG277" s="532"/>
      <c r="AH277" s="532"/>
      <c r="AI277" s="532"/>
    </row>
    <row r="278" spans="1:35" ht="14.25" hidden="1" customHeight="1"/>
    <row r="279" spans="1:35" ht="14.25" hidden="1" customHeight="1"/>
    <row r="280" spans="1:35" ht="14.25" hidden="1" customHeight="1"/>
    <row r="281" spans="1:35" ht="14.25" hidden="1" customHeight="1"/>
    <row r="282" spans="1:35" ht="14.25" hidden="1" customHeight="1"/>
    <row r="283" spans="1:35" ht="14.25" hidden="1" customHeight="1"/>
    <row r="284" spans="1:35" ht="14.25" hidden="1" customHeight="1"/>
    <row r="285" spans="1:35" ht="14.25" hidden="1" customHeight="1"/>
    <row r="286" spans="1:35" ht="14.25" hidden="1" customHeight="1"/>
    <row r="287" spans="1:35" ht="14.25" hidden="1" customHeight="1"/>
    <row r="288" spans="1:35" ht="14.25" hidden="1" customHeight="1"/>
    <row r="289" ht="14.25" hidden="1" customHeight="1"/>
    <row r="290" hidden="1"/>
    <row r="291" hidden="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spans="13:13" ht="14.25" hidden="1" customHeight="1"/>
    <row r="546" spans="13:13" ht="14.25" hidden="1" customHeight="1"/>
    <row r="547" spans="13:13" ht="14.25" hidden="1" customHeight="1"/>
    <row r="548" spans="13:13" ht="14.25" hidden="1" customHeight="1"/>
    <row r="549" spans="13:13" ht="14.25" hidden="1" customHeight="1"/>
    <row r="550" spans="13:13" ht="14.25" hidden="1" customHeight="1"/>
    <row r="551" spans="13:13" ht="14.25" hidden="1" customHeight="1"/>
    <row r="552" spans="13:13" ht="14.25" hidden="1" customHeight="1"/>
    <row r="553" spans="13:13" ht="14.25" hidden="1" customHeight="1"/>
    <row r="554" spans="13:13" ht="14.25" hidden="1" customHeight="1"/>
    <row r="555" spans="13:13" ht="14.25" hidden="1" customHeight="1"/>
    <row r="556" spans="13:13" ht="14.25" hidden="1" customHeight="1"/>
    <row r="558" spans="13:13">
      <c r="M558" s="662"/>
    </row>
  </sheetData>
  <autoFilter ref="B14:B277" xr:uid="{00000000-0009-0000-0000-000004000000}"/>
  <mergeCells count="269">
    <mergeCell ref="G258:M258"/>
    <mergeCell ref="G259:M259"/>
    <mergeCell ref="G260:M260"/>
    <mergeCell ref="G261:M261"/>
    <mergeCell ref="G262:M262"/>
    <mergeCell ref="G265:M265"/>
    <mergeCell ref="G264:M264"/>
    <mergeCell ref="G263:M263"/>
    <mergeCell ref="G266:M266"/>
    <mergeCell ref="G247:M247"/>
    <mergeCell ref="G248:M248"/>
    <mergeCell ref="G249:M249"/>
    <mergeCell ref="G234:M234"/>
    <mergeCell ref="G235:M235"/>
    <mergeCell ref="G236:M236"/>
    <mergeCell ref="G237:M237"/>
    <mergeCell ref="G238:M238"/>
    <mergeCell ref="G239:M239"/>
    <mergeCell ref="G240:M240"/>
    <mergeCell ref="G241:M241"/>
    <mergeCell ref="G246:M246"/>
    <mergeCell ref="G229:M229"/>
    <mergeCell ref="G230:M230"/>
    <mergeCell ref="G231:M231"/>
    <mergeCell ref="G232:M232"/>
    <mergeCell ref="G242:M242"/>
    <mergeCell ref="G243:M243"/>
    <mergeCell ref="G244:M244"/>
    <mergeCell ref="G212:M212"/>
    <mergeCell ref="G213:M213"/>
    <mergeCell ref="G214:M214"/>
    <mergeCell ref="G215:M215"/>
    <mergeCell ref="G216:M216"/>
    <mergeCell ref="G217:M217"/>
    <mergeCell ref="G218:M218"/>
    <mergeCell ref="G219:M219"/>
    <mergeCell ref="G220:M220"/>
    <mergeCell ref="G221:M221"/>
    <mergeCell ref="G222:M222"/>
    <mergeCell ref="G223:M223"/>
    <mergeCell ref="G224:M224"/>
    <mergeCell ref="G225:M225"/>
    <mergeCell ref="G226:M226"/>
    <mergeCell ref="G227:M227"/>
    <mergeCell ref="G233:M233"/>
    <mergeCell ref="G208:M208"/>
    <mergeCell ref="G209:M209"/>
    <mergeCell ref="G257:M257"/>
    <mergeCell ref="G207:M207"/>
    <mergeCell ref="G204:M204"/>
    <mergeCell ref="G205:M205"/>
    <mergeCell ref="G206:M206"/>
    <mergeCell ref="G198:M198"/>
    <mergeCell ref="G199:M199"/>
    <mergeCell ref="G200:M200"/>
    <mergeCell ref="G201:M201"/>
    <mergeCell ref="G202:M202"/>
    <mergeCell ref="G203:M203"/>
    <mergeCell ref="G210:M210"/>
    <mergeCell ref="G211:M211"/>
    <mergeCell ref="G256:M256"/>
    <mergeCell ref="G255:M255"/>
    <mergeCell ref="G253:M253"/>
    <mergeCell ref="G254:M254"/>
    <mergeCell ref="G245:M245"/>
    <mergeCell ref="G250:M250"/>
    <mergeCell ref="G251:M251"/>
    <mergeCell ref="G252:M252"/>
    <mergeCell ref="G228:M228"/>
    <mergeCell ref="G192:M192"/>
    <mergeCell ref="G193:M193"/>
    <mergeCell ref="G194:M194"/>
    <mergeCell ref="G195:M195"/>
    <mergeCell ref="G196:M196"/>
    <mergeCell ref="G197:M197"/>
    <mergeCell ref="G186:M186"/>
    <mergeCell ref="G187:M187"/>
    <mergeCell ref="G188:M188"/>
    <mergeCell ref="G189:M189"/>
    <mergeCell ref="G190:M190"/>
    <mergeCell ref="G191:M191"/>
    <mergeCell ref="G180:M180"/>
    <mergeCell ref="G181:M181"/>
    <mergeCell ref="G182:M182"/>
    <mergeCell ref="G183:M183"/>
    <mergeCell ref="G184:M184"/>
    <mergeCell ref="G185:M185"/>
    <mergeCell ref="G174:M174"/>
    <mergeCell ref="G175:M175"/>
    <mergeCell ref="G176:M176"/>
    <mergeCell ref="G177:M177"/>
    <mergeCell ref="G178:M178"/>
    <mergeCell ref="G179:M179"/>
    <mergeCell ref="G168:M168"/>
    <mergeCell ref="G169:M169"/>
    <mergeCell ref="G170:M170"/>
    <mergeCell ref="G171:M171"/>
    <mergeCell ref="G172:M172"/>
    <mergeCell ref="G173:M173"/>
    <mergeCell ref="G164:M164"/>
    <mergeCell ref="G165:M165"/>
    <mergeCell ref="G166:M166"/>
    <mergeCell ref="G167:M167"/>
    <mergeCell ref="G159:M159"/>
    <mergeCell ref="G160:M160"/>
    <mergeCell ref="G161:M161"/>
    <mergeCell ref="G162:M162"/>
    <mergeCell ref="G163:M163"/>
    <mergeCell ref="G153:M153"/>
    <mergeCell ref="G154:M154"/>
    <mergeCell ref="G155:M155"/>
    <mergeCell ref="G156:M156"/>
    <mergeCell ref="G157:M157"/>
    <mergeCell ref="G158:M158"/>
    <mergeCell ref="G147:M147"/>
    <mergeCell ref="G148:M148"/>
    <mergeCell ref="G149:M149"/>
    <mergeCell ref="G150:M150"/>
    <mergeCell ref="G151:M151"/>
    <mergeCell ref="G152:M152"/>
    <mergeCell ref="G141:M141"/>
    <mergeCell ref="G142:M142"/>
    <mergeCell ref="G143:M143"/>
    <mergeCell ref="G144:M144"/>
    <mergeCell ref="G145:M145"/>
    <mergeCell ref="G146:M146"/>
    <mergeCell ref="G135:M135"/>
    <mergeCell ref="G136:M136"/>
    <mergeCell ref="G137:M137"/>
    <mergeCell ref="G138:M138"/>
    <mergeCell ref="G139:M139"/>
    <mergeCell ref="G140:M140"/>
    <mergeCell ref="G129:M129"/>
    <mergeCell ref="G130:M130"/>
    <mergeCell ref="G131:M131"/>
    <mergeCell ref="G132:M132"/>
    <mergeCell ref="G133:M133"/>
    <mergeCell ref="G134:M134"/>
    <mergeCell ref="G123:M123"/>
    <mergeCell ref="G124:M124"/>
    <mergeCell ref="G125:M125"/>
    <mergeCell ref="G126:M126"/>
    <mergeCell ref="G127:M127"/>
    <mergeCell ref="G128:M128"/>
    <mergeCell ref="G117:M117"/>
    <mergeCell ref="G118:M118"/>
    <mergeCell ref="G119:M119"/>
    <mergeCell ref="G120:M120"/>
    <mergeCell ref="G121:M121"/>
    <mergeCell ref="G122:M122"/>
    <mergeCell ref="G111:M111"/>
    <mergeCell ref="G112:M112"/>
    <mergeCell ref="G113:M113"/>
    <mergeCell ref="G114:M114"/>
    <mergeCell ref="G115:M115"/>
    <mergeCell ref="G116:M116"/>
    <mergeCell ref="G105:M105"/>
    <mergeCell ref="G106:M106"/>
    <mergeCell ref="G107:M107"/>
    <mergeCell ref="G108:M108"/>
    <mergeCell ref="G109:M109"/>
    <mergeCell ref="G110:M110"/>
    <mergeCell ref="G99:M99"/>
    <mergeCell ref="G100:M100"/>
    <mergeCell ref="G101:M101"/>
    <mergeCell ref="G102:M102"/>
    <mergeCell ref="G103:M103"/>
    <mergeCell ref="G104:M104"/>
    <mergeCell ref="G93:M93"/>
    <mergeCell ref="G94:M94"/>
    <mergeCell ref="G95:M95"/>
    <mergeCell ref="G96:M96"/>
    <mergeCell ref="G97:M97"/>
    <mergeCell ref="G98:M98"/>
    <mergeCell ref="G87:M87"/>
    <mergeCell ref="G88:M88"/>
    <mergeCell ref="G89:M89"/>
    <mergeCell ref="G90:M90"/>
    <mergeCell ref="G91:M91"/>
    <mergeCell ref="G92:M92"/>
    <mergeCell ref="G81:M81"/>
    <mergeCell ref="G82:M82"/>
    <mergeCell ref="G83:M83"/>
    <mergeCell ref="G84:M84"/>
    <mergeCell ref="G85:M85"/>
    <mergeCell ref="G86:M86"/>
    <mergeCell ref="G75:M75"/>
    <mergeCell ref="G76:M76"/>
    <mergeCell ref="G77:M77"/>
    <mergeCell ref="G78:M78"/>
    <mergeCell ref="G79:M79"/>
    <mergeCell ref="G80:M80"/>
    <mergeCell ref="G69:M69"/>
    <mergeCell ref="G70:M70"/>
    <mergeCell ref="G71:M71"/>
    <mergeCell ref="G72:M72"/>
    <mergeCell ref="G73:M73"/>
    <mergeCell ref="G74:M74"/>
    <mergeCell ref="G63:M63"/>
    <mergeCell ref="G64:M64"/>
    <mergeCell ref="G65:M65"/>
    <mergeCell ref="G66:M66"/>
    <mergeCell ref="G67:M67"/>
    <mergeCell ref="G68:M68"/>
    <mergeCell ref="G57:M57"/>
    <mergeCell ref="G58:M58"/>
    <mergeCell ref="G59:M59"/>
    <mergeCell ref="G60:M60"/>
    <mergeCell ref="G61:M61"/>
    <mergeCell ref="G62:M62"/>
    <mergeCell ref="G51:M51"/>
    <mergeCell ref="G52:M52"/>
    <mergeCell ref="G53:M53"/>
    <mergeCell ref="G54:M54"/>
    <mergeCell ref="G55:M55"/>
    <mergeCell ref="G56:M56"/>
    <mergeCell ref="G45:M45"/>
    <mergeCell ref="G46:M46"/>
    <mergeCell ref="G47:M47"/>
    <mergeCell ref="G48:M48"/>
    <mergeCell ref="G49:M49"/>
    <mergeCell ref="G50:M50"/>
    <mergeCell ref="G39:M39"/>
    <mergeCell ref="G40:M40"/>
    <mergeCell ref="G41:M41"/>
    <mergeCell ref="G42:M42"/>
    <mergeCell ref="G43:M43"/>
    <mergeCell ref="G44:M44"/>
    <mergeCell ref="G33:M33"/>
    <mergeCell ref="G34:M34"/>
    <mergeCell ref="G35:M35"/>
    <mergeCell ref="G36:M36"/>
    <mergeCell ref="G37:M37"/>
    <mergeCell ref="G38:M38"/>
    <mergeCell ref="G28:M28"/>
    <mergeCell ref="G29:M29"/>
    <mergeCell ref="G30:M30"/>
    <mergeCell ref="G31:M31"/>
    <mergeCell ref="G32:M32"/>
    <mergeCell ref="G21:M21"/>
    <mergeCell ref="G22:M22"/>
    <mergeCell ref="G23:M23"/>
    <mergeCell ref="G24:M24"/>
    <mergeCell ref="G25:M25"/>
    <mergeCell ref="G26:M26"/>
    <mergeCell ref="G267:M267"/>
    <mergeCell ref="B277:O277"/>
    <mergeCell ref="B276:O276"/>
    <mergeCell ref="B275:O275"/>
    <mergeCell ref="U14:V14"/>
    <mergeCell ref="AA14:AB14"/>
    <mergeCell ref="AE14:AF14"/>
    <mergeCell ref="N4:O4"/>
    <mergeCell ref="D6:F6"/>
    <mergeCell ref="D7:F7"/>
    <mergeCell ref="H7:J10"/>
    <mergeCell ref="N7:O7"/>
    <mergeCell ref="D8:F8"/>
    <mergeCell ref="N8:O8"/>
    <mergeCell ref="G15:M15"/>
    <mergeCell ref="G16:M16"/>
    <mergeCell ref="G17:M17"/>
    <mergeCell ref="G18:M18"/>
    <mergeCell ref="G19:M19"/>
    <mergeCell ref="G20:M20"/>
    <mergeCell ref="C14:F14"/>
    <mergeCell ref="Q14:R14"/>
    <mergeCell ref="S14:T14"/>
    <mergeCell ref="G27:M27"/>
  </mergeCells>
  <conditionalFormatting sqref="M270:O270">
    <cfRule type="expression" dxfId="197" priority="258">
      <formula>$N$270=$AE$270</formula>
    </cfRule>
    <cfRule type="expression" dxfId="196" priority="259">
      <formula>$N$270=$AF$270</formula>
    </cfRule>
    <cfRule type="expression" dxfId="195" priority="260">
      <formula>$N$270=$AA$270</formula>
    </cfRule>
  </conditionalFormatting>
  <conditionalFormatting sqref="M271:O271">
    <cfRule type="expression" dxfId="194" priority="261">
      <formula>$N$271=$AD$271</formula>
    </cfRule>
    <cfRule type="expression" dxfId="193" priority="262">
      <formula>$N$271=$AA$271</formula>
    </cfRule>
  </conditionalFormatting>
  <conditionalFormatting sqref="M272:O272">
    <cfRule type="expression" dxfId="192" priority="263">
      <formula>$N$272=$AC$272</formula>
    </cfRule>
    <cfRule type="expression" dxfId="191" priority="264">
      <formula>$N$272=$AD$272</formula>
    </cfRule>
    <cfRule type="expression" dxfId="190" priority="265">
      <formula>$N$272=$AA$272</formula>
    </cfRule>
  </conditionalFormatting>
  <conditionalFormatting sqref="M273:O273">
    <cfRule type="expression" dxfId="189" priority="266">
      <formula>$N$273=$AB$273</formula>
    </cfRule>
  </conditionalFormatting>
  <conditionalFormatting sqref="M274:O274">
    <cfRule type="expression" dxfId="188" priority="267">
      <formula>$N$274=$AA$274</formula>
    </cfRule>
  </conditionalFormatting>
  <pageMargins left="0.39370078740157483" right="0.39370078740157483" top="0.39370078740157483" bottom="0.39370078740157483" header="0.31496062992125984" footer="0.31496062992125984"/>
  <pageSetup paperSize="9" scale="75" fitToHeight="0" orientation="landscape" r:id="rId1"/>
  <headerFooter>
    <oddFooter>&amp;LAnwendungstechnik&amp;CStand: 03.05.2022&amp;RVersion: 03.05.2022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Drucken2">
                <anchor moveWithCells="1" sizeWithCells="1">
                  <from>
                    <xdr:col>2</xdr:col>
                    <xdr:colOff>647700</xdr:colOff>
                    <xdr:row>11</xdr:row>
                    <xdr:rowOff>0</xdr:rowOff>
                  </from>
                  <to>
                    <xdr:col>5</xdr:col>
                    <xdr:colOff>914400</xdr:colOff>
                    <xdr:row>12</xdr:row>
                    <xdr:rowOff>160020</xdr:rowOff>
                  </to>
                </anchor>
              </controlPr>
            </control>
          </mc:Choice>
        </mc:AlternateContent>
        <mc:AlternateContent xmlns:mc="http://schemas.openxmlformats.org/markup-compatibility/2006">
          <mc:Choice Requires="x14">
            <control shapeId="34818" r:id="rId5" name="Option Button 2">
              <controlPr defaultSize="0" autoFill="0" autoLine="0" autoPict="0">
                <anchor moveWithCells="1">
                  <from>
                    <xdr:col>15</xdr:col>
                    <xdr:colOff>251460</xdr:colOff>
                    <xdr:row>4</xdr:row>
                    <xdr:rowOff>0</xdr:rowOff>
                  </from>
                  <to>
                    <xdr:col>15</xdr:col>
                    <xdr:colOff>1021080</xdr:colOff>
                    <xdr:row>5</xdr:row>
                    <xdr:rowOff>0</xdr:rowOff>
                  </to>
                </anchor>
              </controlPr>
            </control>
          </mc:Choice>
        </mc:AlternateContent>
        <mc:AlternateContent xmlns:mc="http://schemas.openxmlformats.org/markup-compatibility/2006">
          <mc:Choice Requires="x14">
            <control shapeId="34819" r:id="rId6" name="Option Button 3">
              <controlPr defaultSize="0" autoFill="0" autoLine="0" autoPict="0">
                <anchor moveWithCells="1">
                  <from>
                    <xdr:col>15</xdr:col>
                    <xdr:colOff>251460</xdr:colOff>
                    <xdr:row>4</xdr:row>
                    <xdr:rowOff>198120</xdr:rowOff>
                  </from>
                  <to>
                    <xdr:col>15</xdr:col>
                    <xdr:colOff>1021080</xdr:colOff>
                    <xdr:row>6</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1" id="{4889EF54-F09C-47E0-AD40-EF6B8E48B773}">
            <xm:f>Haftungsausschluß!$L$21=1</xm:f>
            <x14:dxf>
              <font>
                <color theme="1"/>
              </font>
            </x14:dxf>
          </x14:cfRule>
          <xm:sqref>P10:P12 P4:P6 N15:O196 N198:O204 N206:O206</xm:sqref>
        </x14:conditionalFormatting>
        <x14:conditionalFormatting xmlns:xm="http://schemas.microsoft.com/office/excel/2006/main">
          <x14:cfRule type="expression" priority="196" id="{DB1F37E9-81FB-432F-861C-E21FC11C12E9}">
            <xm:f>Haftungsausschluß!$L$21=1</xm:f>
            <x14:dxf>
              <fill>
                <patternFill>
                  <bgColor theme="0" tint="-0.14996795556505021"/>
                </patternFill>
              </fill>
            </x14:dxf>
          </x14:cfRule>
          <xm:sqref>P11</xm:sqref>
        </x14:conditionalFormatting>
        <x14:conditionalFormatting xmlns:xm="http://schemas.microsoft.com/office/excel/2006/main">
          <x14:cfRule type="expression" priority="195" id="{B9845949-9FCC-40E5-9013-393EE4CDE60A}">
            <xm:f>Haftungsausschluß!$L$21=0</xm:f>
            <x14:dxf>
              <font>
                <color theme="0"/>
              </font>
              <border>
                <left/>
                <right/>
                <top/>
                <bottom/>
                <vertical/>
                <horizontal/>
              </border>
            </x14:dxf>
          </x14:cfRule>
          <xm:sqref>N15:O196 N198:O204 N206:O206</xm:sqref>
        </x14:conditionalFormatting>
        <x14:conditionalFormatting xmlns:xm="http://schemas.microsoft.com/office/excel/2006/main">
          <x14:cfRule type="expression" priority="194" id="{B603F2A1-CAC3-4538-9E86-3A858BFBDE24}">
            <xm:f>Haftungsausschluß!$L$21=0</xm:f>
            <x14:dxf>
              <border>
                <left style="thin">
                  <color auto="1"/>
                </left>
                <vertical/>
                <horizontal/>
              </border>
            </x14:dxf>
          </x14:cfRule>
          <xm:sqref>N15:N196 N198:N204 N206</xm:sqref>
        </x14:conditionalFormatting>
        <x14:conditionalFormatting xmlns:xm="http://schemas.microsoft.com/office/excel/2006/main">
          <x14:cfRule type="expression" priority="193" id="{91A0A849-89D5-4568-BF15-BF8B072CEC9D}">
            <xm:f>Haftungsausschluß!$L$21=1</xm:f>
            <x14:dxf>
              <font>
                <color theme="1"/>
              </font>
            </x14:dxf>
          </x14:cfRule>
          <xm:sqref>N197:O197</xm:sqref>
        </x14:conditionalFormatting>
        <x14:conditionalFormatting xmlns:xm="http://schemas.microsoft.com/office/excel/2006/main">
          <x14:cfRule type="expression" priority="192" id="{58DB53F3-3B7C-4B2D-A3D1-FC2984E86622}">
            <xm:f>Haftungsausschluß!$L$21=0</xm:f>
            <x14:dxf>
              <font>
                <color theme="0"/>
              </font>
              <border>
                <left/>
                <right/>
                <top/>
                <bottom/>
                <vertical/>
                <horizontal/>
              </border>
            </x14:dxf>
          </x14:cfRule>
          <xm:sqref>N197:O197</xm:sqref>
        </x14:conditionalFormatting>
        <x14:conditionalFormatting xmlns:xm="http://schemas.microsoft.com/office/excel/2006/main">
          <x14:cfRule type="expression" priority="191" id="{B5393E1E-CF2D-47C7-BD6B-D299E89319B7}">
            <xm:f>Haftungsausschluß!$L$21=0</xm:f>
            <x14:dxf>
              <border>
                <left style="thin">
                  <color auto="1"/>
                </left>
                <vertical/>
                <horizontal/>
              </border>
            </x14:dxf>
          </x14:cfRule>
          <xm:sqref>N197</xm:sqref>
        </x14:conditionalFormatting>
        <x14:conditionalFormatting xmlns:xm="http://schemas.microsoft.com/office/excel/2006/main">
          <x14:cfRule type="expression" priority="178" id="{9EEF99A7-B76F-462A-B26F-7548335DBFD9}">
            <xm:f>Haftungsausschluß!$L$21=1</xm:f>
            <x14:dxf>
              <font>
                <color theme="1"/>
              </font>
            </x14:dxf>
          </x14:cfRule>
          <xm:sqref>N207:O207</xm:sqref>
        </x14:conditionalFormatting>
        <x14:conditionalFormatting xmlns:xm="http://schemas.microsoft.com/office/excel/2006/main">
          <x14:cfRule type="expression" priority="177" id="{40A733DE-E9BF-45C0-9803-C78C75575746}">
            <xm:f>Haftungsausschluß!$L$21=0</xm:f>
            <x14:dxf>
              <font>
                <color theme="0"/>
              </font>
              <border>
                <left/>
                <right/>
                <top/>
                <bottom/>
                <vertical/>
                <horizontal/>
              </border>
            </x14:dxf>
          </x14:cfRule>
          <xm:sqref>N207:O207</xm:sqref>
        </x14:conditionalFormatting>
        <x14:conditionalFormatting xmlns:xm="http://schemas.microsoft.com/office/excel/2006/main">
          <x14:cfRule type="expression" priority="176" id="{C3A0CD69-9322-4230-A202-E1AD7C32466D}">
            <xm:f>Haftungsausschluß!$L$21=0</xm:f>
            <x14:dxf>
              <border>
                <left style="thin">
                  <color auto="1"/>
                </left>
                <vertical/>
                <horizontal/>
              </border>
            </x14:dxf>
          </x14:cfRule>
          <xm:sqref>N207</xm:sqref>
        </x14:conditionalFormatting>
        <x14:conditionalFormatting xmlns:xm="http://schemas.microsoft.com/office/excel/2006/main">
          <x14:cfRule type="expression" priority="175" id="{539FB99B-4721-4128-B71D-D6F5D568EA9D}">
            <xm:f>Haftungsausschluß!$L$21=1</xm:f>
            <x14:dxf>
              <font>
                <color theme="1"/>
              </font>
            </x14:dxf>
          </x14:cfRule>
          <xm:sqref>N208:O209 N257:N266</xm:sqref>
        </x14:conditionalFormatting>
        <x14:conditionalFormatting xmlns:xm="http://schemas.microsoft.com/office/excel/2006/main">
          <x14:cfRule type="expression" priority="174" id="{70A75A57-252F-44C7-B285-52EFD512FCC3}">
            <xm:f>Haftungsausschluß!$L$21=0</xm:f>
            <x14:dxf>
              <font>
                <color theme="0"/>
              </font>
              <border>
                <left/>
                <right/>
                <top/>
                <bottom/>
                <vertical/>
                <horizontal/>
              </border>
            </x14:dxf>
          </x14:cfRule>
          <xm:sqref>N208:O209 N257:N266</xm:sqref>
        </x14:conditionalFormatting>
        <x14:conditionalFormatting xmlns:xm="http://schemas.microsoft.com/office/excel/2006/main">
          <x14:cfRule type="expression" priority="173" id="{64E480FC-9BB1-4474-B6AE-4E3DED1CED54}">
            <xm:f>Haftungsausschluß!$L$21=0</xm:f>
            <x14:dxf>
              <border>
                <left style="thin">
                  <color auto="1"/>
                </left>
                <vertical/>
                <horizontal/>
              </border>
            </x14:dxf>
          </x14:cfRule>
          <xm:sqref>N208:N209 N257:N266</xm:sqref>
        </x14:conditionalFormatting>
        <x14:conditionalFormatting xmlns:xm="http://schemas.microsoft.com/office/excel/2006/main">
          <x14:cfRule type="expression" priority="172" id="{7216A6F6-8F45-4B1C-85DE-CFB9AD5C684B}">
            <xm:f>Haftungsausschluß!$L$21=1</xm:f>
            <x14:dxf>
              <font>
                <color theme="1"/>
              </font>
            </x14:dxf>
          </x14:cfRule>
          <xm:sqref>N210:O210</xm:sqref>
        </x14:conditionalFormatting>
        <x14:conditionalFormatting xmlns:xm="http://schemas.microsoft.com/office/excel/2006/main">
          <x14:cfRule type="expression" priority="171" id="{B6E00AFF-9D22-4068-9BE0-60FBEC6E1716}">
            <xm:f>Haftungsausschluß!$L$21=0</xm:f>
            <x14:dxf>
              <font>
                <color theme="0"/>
              </font>
              <border>
                <left/>
                <right/>
                <top/>
                <bottom/>
                <vertical/>
                <horizontal/>
              </border>
            </x14:dxf>
          </x14:cfRule>
          <xm:sqref>N210:O210</xm:sqref>
        </x14:conditionalFormatting>
        <x14:conditionalFormatting xmlns:xm="http://schemas.microsoft.com/office/excel/2006/main">
          <x14:cfRule type="expression" priority="170" id="{EA821F7C-E7C1-4CD5-8AA6-C7C386C08A9E}">
            <xm:f>Haftungsausschluß!$L$21=0</xm:f>
            <x14:dxf>
              <border>
                <left style="thin">
                  <color auto="1"/>
                </left>
                <vertical/>
                <horizontal/>
              </border>
            </x14:dxf>
          </x14:cfRule>
          <xm:sqref>N210</xm:sqref>
        </x14:conditionalFormatting>
        <x14:conditionalFormatting xmlns:xm="http://schemas.microsoft.com/office/excel/2006/main">
          <x14:cfRule type="expression" priority="169" id="{AB4A941E-2345-43FD-A1B8-9B8005E4AB07}">
            <xm:f>Haftungsausschluß!$L$21=1</xm:f>
            <x14:dxf>
              <font>
                <color theme="1"/>
              </font>
            </x14:dxf>
          </x14:cfRule>
          <xm:sqref>N211:O211</xm:sqref>
        </x14:conditionalFormatting>
        <x14:conditionalFormatting xmlns:xm="http://schemas.microsoft.com/office/excel/2006/main">
          <x14:cfRule type="expression" priority="168" id="{D4C4999D-8A83-4815-B552-D903FD41A2A3}">
            <xm:f>Haftungsausschluß!$L$21=0</xm:f>
            <x14:dxf>
              <font>
                <color theme="0"/>
              </font>
              <border>
                <left/>
                <right/>
                <top/>
                <bottom/>
                <vertical/>
                <horizontal/>
              </border>
            </x14:dxf>
          </x14:cfRule>
          <xm:sqref>N211:O211</xm:sqref>
        </x14:conditionalFormatting>
        <x14:conditionalFormatting xmlns:xm="http://schemas.microsoft.com/office/excel/2006/main">
          <x14:cfRule type="expression" priority="167" id="{8F09ECF0-4669-42C6-BAEC-C2009C667B26}">
            <xm:f>Haftungsausschluß!$L$21=0</xm:f>
            <x14:dxf>
              <border>
                <left style="thin">
                  <color auto="1"/>
                </left>
                <vertical/>
                <horizontal/>
              </border>
            </x14:dxf>
          </x14:cfRule>
          <xm:sqref>N211</xm:sqref>
        </x14:conditionalFormatting>
        <x14:conditionalFormatting xmlns:xm="http://schemas.microsoft.com/office/excel/2006/main">
          <x14:cfRule type="expression" priority="166" id="{E0BA24D5-1144-424A-8802-76C11FA94B5E}">
            <xm:f>Haftungsausschluß!$L$21=1</xm:f>
            <x14:dxf>
              <font>
                <color theme="1"/>
              </font>
            </x14:dxf>
          </x14:cfRule>
          <xm:sqref>N256</xm:sqref>
        </x14:conditionalFormatting>
        <x14:conditionalFormatting xmlns:xm="http://schemas.microsoft.com/office/excel/2006/main">
          <x14:cfRule type="expression" priority="165" id="{5147B924-5C6A-4891-94AC-8AA7421F25DE}">
            <xm:f>Haftungsausschluß!$L$21=0</xm:f>
            <x14:dxf>
              <font>
                <color theme="0"/>
              </font>
              <border>
                <left/>
                <right/>
                <top/>
                <bottom/>
                <vertical/>
                <horizontal/>
              </border>
            </x14:dxf>
          </x14:cfRule>
          <xm:sqref>N256</xm:sqref>
        </x14:conditionalFormatting>
        <x14:conditionalFormatting xmlns:xm="http://schemas.microsoft.com/office/excel/2006/main">
          <x14:cfRule type="expression" priority="164" id="{7DB826F9-B8DA-4501-857B-3B68C9889339}">
            <xm:f>Haftungsausschluß!$L$21=0</xm:f>
            <x14:dxf>
              <border>
                <left style="thin">
                  <color auto="1"/>
                </left>
                <vertical/>
                <horizontal/>
              </border>
            </x14:dxf>
          </x14:cfRule>
          <xm:sqref>N256</xm:sqref>
        </x14:conditionalFormatting>
        <x14:conditionalFormatting xmlns:xm="http://schemas.microsoft.com/office/excel/2006/main">
          <x14:cfRule type="expression" priority="163" id="{D7394DD7-1424-4FDE-A243-690E2C565CB9}">
            <xm:f>Haftungsausschluß!$L$21=1</xm:f>
            <x14:dxf>
              <font>
                <color theme="1"/>
              </font>
            </x14:dxf>
          </x14:cfRule>
          <xm:sqref>N255</xm:sqref>
        </x14:conditionalFormatting>
        <x14:conditionalFormatting xmlns:xm="http://schemas.microsoft.com/office/excel/2006/main">
          <x14:cfRule type="expression" priority="162" id="{CD103CD3-06FD-4348-B8E1-320A16BB579D}">
            <xm:f>Haftungsausschluß!$L$21=0</xm:f>
            <x14:dxf>
              <font>
                <color theme="0"/>
              </font>
              <border>
                <left/>
                <right/>
                <top/>
                <bottom/>
                <vertical/>
                <horizontal/>
              </border>
            </x14:dxf>
          </x14:cfRule>
          <xm:sqref>N255</xm:sqref>
        </x14:conditionalFormatting>
        <x14:conditionalFormatting xmlns:xm="http://schemas.microsoft.com/office/excel/2006/main">
          <x14:cfRule type="expression" priority="161" id="{C7B2130D-2A24-42C4-805A-71DF8FAB4121}">
            <xm:f>Haftungsausschluß!$L$21=0</xm:f>
            <x14:dxf>
              <border>
                <left style="thin">
                  <color auto="1"/>
                </left>
                <vertical/>
                <horizontal/>
              </border>
            </x14:dxf>
          </x14:cfRule>
          <xm:sqref>N255</xm:sqref>
        </x14:conditionalFormatting>
        <x14:conditionalFormatting xmlns:xm="http://schemas.microsoft.com/office/excel/2006/main">
          <x14:cfRule type="expression" priority="160" id="{4B287275-0385-4B0C-BB89-9FF980D9C0B4}">
            <xm:f>Haftungsausschluß!$L$21=1</xm:f>
            <x14:dxf>
              <font>
                <color theme="1"/>
              </font>
            </x14:dxf>
          </x14:cfRule>
          <xm:sqref>N254</xm:sqref>
        </x14:conditionalFormatting>
        <x14:conditionalFormatting xmlns:xm="http://schemas.microsoft.com/office/excel/2006/main">
          <x14:cfRule type="expression" priority="159" id="{CEFB47C3-CDA9-4083-A9FF-1A789A4C402F}">
            <xm:f>Haftungsausschluß!$L$21=0</xm:f>
            <x14:dxf>
              <font>
                <color theme="0"/>
              </font>
              <border>
                <left/>
                <right/>
                <top/>
                <bottom/>
                <vertical/>
                <horizontal/>
              </border>
            </x14:dxf>
          </x14:cfRule>
          <xm:sqref>N254</xm:sqref>
        </x14:conditionalFormatting>
        <x14:conditionalFormatting xmlns:xm="http://schemas.microsoft.com/office/excel/2006/main">
          <x14:cfRule type="expression" priority="158" id="{3D20E2C0-CEF1-42B8-B4E7-995CA4CD62F0}">
            <xm:f>Haftungsausschluß!$L$21=0</xm:f>
            <x14:dxf>
              <border>
                <left style="thin">
                  <color auto="1"/>
                </left>
                <vertical/>
                <horizontal/>
              </border>
            </x14:dxf>
          </x14:cfRule>
          <xm:sqref>N254</xm:sqref>
        </x14:conditionalFormatting>
        <x14:conditionalFormatting xmlns:xm="http://schemas.microsoft.com/office/excel/2006/main">
          <x14:cfRule type="expression" priority="157" id="{21CDEAE0-C756-486A-8D44-CFBDDA12C028}">
            <xm:f>Haftungsausschluß!$L$21=1</xm:f>
            <x14:dxf>
              <font>
                <color theme="1"/>
              </font>
            </x14:dxf>
          </x14:cfRule>
          <xm:sqref>N253</xm:sqref>
        </x14:conditionalFormatting>
        <x14:conditionalFormatting xmlns:xm="http://schemas.microsoft.com/office/excel/2006/main">
          <x14:cfRule type="expression" priority="156" id="{59BA90CE-009F-4938-B553-65C004A3B334}">
            <xm:f>Haftungsausschluß!$L$21=0</xm:f>
            <x14:dxf>
              <font>
                <color theme="0"/>
              </font>
              <border>
                <left/>
                <right/>
                <top/>
                <bottom/>
                <vertical/>
                <horizontal/>
              </border>
            </x14:dxf>
          </x14:cfRule>
          <xm:sqref>N253</xm:sqref>
        </x14:conditionalFormatting>
        <x14:conditionalFormatting xmlns:xm="http://schemas.microsoft.com/office/excel/2006/main">
          <x14:cfRule type="expression" priority="155" id="{49C92ABA-29D0-4616-A6FD-51903D9EE1B3}">
            <xm:f>Haftungsausschluß!$L$21=0</xm:f>
            <x14:dxf>
              <border>
                <left style="thin">
                  <color auto="1"/>
                </left>
                <vertical/>
                <horizontal/>
              </border>
            </x14:dxf>
          </x14:cfRule>
          <xm:sqref>N253</xm:sqref>
        </x14:conditionalFormatting>
        <x14:conditionalFormatting xmlns:xm="http://schemas.microsoft.com/office/excel/2006/main">
          <x14:cfRule type="expression" priority="154" id="{8BC245AD-4615-40AA-8010-E8BBC696CBCC}">
            <xm:f>Haftungsausschluß!$L$21=1</xm:f>
            <x14:dxf>
              <font>
                <color theme="1"/>
              </font>
            </x14:dxf>
          </x14:cfRule>
          <xm:sqref>N252</xm:sqref>
        </x14:conditionalFormatting>
        <x14:conditionalFormatting xmlns:xm="http://schemas.microsoft.com/office/excel/2006/main">
          <x14:cfRule type="expression" priority="153" id="{A825C020-D875-4894-90A6-10FA98598B04}">
            <xm:f>Haftungsausschluß!$L$21=0</xm:f>
            <x14:dxf>
              <font>
                <color theme="0"/>
              </font>
              <border>
                <left/>
                <right/>
                <top/>
                <bottom/>
                <vertical/>
                <horizontal/>
              </border>
            </x14:dxf>
          </x14:cfRule>
          <xm:sqref>N252</xm:sqref>
        </x14:conditionalFormatting>
        <x14:conditionalFormatting xmlns:xm="http://schemas.microsoft.com/office/excel/2006/main">
          <x14:cfRule type="expression" priority="152" id="{0232992B-4BDD-480F-AE42-2E97A86E67CD}">
            <xm:f>Haftungsausschluß!$L$21=0</xm:f>
            <x14:dxf>
              <border>
                <left style="thin">
                  <color auto="1"/>
                </left>
                <vertical/>
                <horizontal/>
              </border>
            </x14:dxf>
          </x14:cfRule>
          <xm:sqref>N252</xm:sqref>
        </x14:conditionalFormatting>
        <x14:conditionalFormatting xmlns:xm="http://schemas.microsoft.com/office/excel/2006/main">
          <x14:cfRule type="expression" priority="151" id="{3CC013BB-E78F-45B1-A5A5-9511ECC7B6F9}">
            <xm:f>Haftungsausschluß!$L$21=1</xm:f>
            <x14:dxf>
              <font>
                <color theme="1"/>
              </font>
            </x14:dxf>
          </x14:cfRule>
          <xm:sqref>N251</xm:sqref>
        </x14:conditionalFormatting>
        <x14:conditionalFormatting xmlns:xm="http://schemas.microsoft.com/office/excel/2006/main">
          <x14:cfRule type="expression" priority="150" id="{C11751D3-EC0F-41B0-98D5-3D142F292463}">
            <xm:f>Haftungsausschluß!$L$21=0</xm:f>
            <x14:dxf>
              <font>
                <color theme="0"/>
              </font>
              <border>
                <left/>
                <right/>
                <top/>
                <bottom/>
                <vertical/>
                <horizontal/>
              </border>
            </x14:dxf>
          </x14:cfRule>
          <xm:sqref>N251</xm:sqref>
        </x14:conditionalFormatting>
        <x14:conditionalFormatting xmlns:xm="http://schemas.microsoft.com/office/excel/2006/main">
          <x14:cfRule type="expression" priority="149" id="{ED4ECA9C-BD48-4704-8AE0-0F510DCBC6BF}">
            <xm:f>Haftungsausschluß!$L$21=0</xm:f>
            <x14:dxf>
              <border>
                <left style="thin">
                  <color auto="1"/>
                </left>
                <vertical/>
                <horizontal/>
              </border>
            </x14:dxf>
          </x14:cfRule>
          <xm:sqref>N251</xm:sqref>
        </x14:conditionalFormatting>
        <x14:conditionalFormatting xmlns:xm="http://schemas.microsoft.com/office/excel/2006/main">
          <x14:cfRule type="expression" priority="148" id="{0E124EAA-F977-4CC5-AEB1-A9B022329E6D}">
            <xm:f>Haftungsausschluß!$L$21=1</xm:f>
            <x14:dxf>
              <font>
                <color theme="1"/>
              </font>
            </x14:dxf>
          </x14:cfRule>
          <xm:sqref>N250</xm:sqref>
        </x14:conditionalFormatting>
        <x14:conditionalFormatting xmlns:xm="http://schemas.microsoft.com/office/excel/2006/main">
          <x14:cfRule type="expression" priority="147" id="{4A541996-1750-44A8-B92B-DBF5670B0458}">
            <xm:f>Haftungsausschluß!$L$21=0</xm:f>
            <x14:dxf>
              <font>
                <color theme="0"/>
              </font>
              <border>
                <left/>
                <right/>
                <top/>
                <bottom/>
                <vertical/>
                <horizontal/>
              </border>
            </x14:dxf>
          </x14:cfRule>
          <xm:sqref>N250</xm:sqref>
        </x14:conditionalFormatting>
        <x14:conditionalFormatting xmlns:xm="http://schemas.microsoft.com/office/excel/2006/main">
          <x14:cfRule type="expression" priority="146" id="{52409BF3-4B8F-4AE9-9857-5EDB3E9A9F52}">
            <xm:f>Haftungsausschluß!$L$21=0</xm:f>
            <x14:dxf>
              <border>
                <left style="thin">
                  <color auto="1"/>
                </left>
                <vertical/>
                <horizontal/>
              </border>
            </x14:dxf>
          </x14:cfRule>
          <xm:sqref>N250</xm:sqref>
        </x14:conditionalFormatting>
        <x14:conditionalFormatting xmlns:xm="http://schemas.microsoft.com/office/excel/2006/main">
          <x14:cfRule type="expression" priority="145" id="{54418EC5-97F2-4F80-ADC0-E068F456B7F5}">
            <xm:f>Haftungsausschluß!$L$21=1</xm:f>
            <x14:dxf>
              <font>
                <color theme="1"/>
              </font>
            </x14:dxf>
          </x14:cfRule>
          <xm:sqref>N245</xm:sqref>
        </x14:conditionalFormatting>
        <x14:conditionalFormatting xmlns:xm="http://schemas.microsoft.com/office/excel/2006/main">
          <x14:cfRule type="expression" priority="144" id="{56CEC574-B372-48E7-9128-8C197B526CF3}">
            <xm:f>Haftungsausschluß!$L$21=0</xm:f>
            <x14:dxf>
              <font>
                <color theme="0"/>
              </font>
              <border>
                <left/>
                <right/>
                <top/>
                <bottom/>
                <vertical/>
                <horizontal/>
              </border>
            </x14:dxf>
          </x14:cfRule>
          <xm:sqref>N245</xm:sqref>
        </x14:conditionalFormatting>
        <x14:conditionalFormatting xmlns:xm="http://schemas.microsoft.com/office/excel/2006/main">
          <x14:cfRule type="expression" priority="143" id="{F2B12C91-578B-4DF9-AC61-ACCF40B8611D}">
            <xm:f>Haftungsausschluß!$L$21=0</xm:f>
            <x14:dxf>
              <border>
                <left style="thin">
                  <color auto="1"/>
                </left>
                <vertical/>
                <horizontal/>
              </border>
            </x14:dxf>
          </x14:cfRule>
          <xm:sqref>N245</xm:sqref>
        </x14:conditionalFormatting>
        <x14:conditionalFormatting xmlns:xm="http://schemas.microsoft.com/office/excel/2006/main">
          <x14:cfRule type="expression" priority="142" id="{687ED741-8AB0-4A02-8D6D-1679E7ED5EFE}">
            <xm:f>Haftungsausschluß!$L$21=1</xm:f>
            <x14:dxf>
              <font>
                <color theme="1"/>
              </font>
            </x14:dxf>
          </x14:cfRule>
          <xm:sqref>N244</xm:sqref>
        </x14:conditionalFormatting>
        <x14:conditionalFormatting xmlns:xm="http://schemas.microsoft.com/office/excel/2006/main">
          <x14:cfRule type="expression" priority="141" id="{2773B499-7D21-4B52-8219-6E07973D1AA4}">
            <xm:f>Haftungsausschluß!$L$21=0</xm:f>
            <x14:dxf>
              <font>
                <color theme="0"/>
              </font>
              <border>
                <left/>
                <right/>
                <top/>
                <bottom/>
                <vertical/>
                <horizontal/>
              </border>
            </x14:dxf>
          </x14:cfRule>
          <xm:sqref>N244</xm:sqref>
        </x14:conditionalFormatting>
        <x14:conditionalFormatting xmlns:xm="http://schemas.microsoft.com/office/excel/2006/main">
          <x14:cfRule type="expression" priority="140" id="{0D48BF2A-32BB-4694-9F77-5C423D8374FF}">
            <xm:f>Haftungsausschluß!$L$21=0</xm:f>
            <x14:dxf>
              <border>
                <left style="thin">
                  <color auto="1"/>
                </left>
                <vertical/>
                <horizontal/>
              </border>
            </x14:dxf>
          </x14:cfRule>
          <xm:sqref>N244</xm:sqref>
        </x14:conditionalFormatting>
        <x14:conditionalFormatting xmlns:xm="http://schemas.microsoft.com/office/excel/2006/main">
          <x14:cfRule type="expression" priority="139" id="{05E295FC-E7A5-47EE-9734-59BA59D6B9BF}">
            <xm:f>Haftungsausschluß!$L$21=1</xm:f>
            <x14:dxf>
              <font>
                <color theme="1"/>
              </font>
            </x14:dxf>
          </x14:cfRule>
          <xm:sqref>N243</xm:sqref>
        </x14:conditionalFormatting>
        <x14:conditionalFormatting xmlns:xm="http://schemas.microsoft.com/office/excel/2006/main">
          <x14:cfRule type="expression" priority="138" id="{31588448-5628-491B-929E-D731271F3679}">
            <xm:f>Haftungsausschluß!$L$21=0</xm:f>
            <x14:dxf>
              <font>
                <color theme="0"/>
              </font>
              <border>
                <left/>
                <right/>
                <top/>
                <bottom/>
                <vertical/>
                <horizontal/>
              </border>
            </x14:dxf>
          </x14:cfRule>
          <xm:sqref>N243</xm:sqref>
        </x14:conditionalFormatting>
        <x14:conditionalFormatting xmlns:xm="http://schemas.microsoft.com/office/excel/2006/main">
          <x14:cfRule type="expression" priority="137" id="{D9740C0D-0B93-43A1-BBD2-02B4DA13D254}">
            <xm:f>Haftungsausschluß!$L$21=0</xm:f>
            <x14:dxf>
              <border>
                <left style="thin">
                  <color auto="1"/>
                </left>
                <vertical/>
                <horizontal/>
              </border>
            </x14:dxf>
          </x14:cfRule>
          <xm:sqref>N243</xm:sqref>
        </x14:conditionalFormatting>
        <x14:conditionalFormatting xmlns:xm="http://schemas.microsoft.com/office/excel/2006/main">
          <x14:cfRule type="expression" priority="136" id="{3BB38D04-0500-4045-BCE7-6F0604123E29}">
            <xm:f>Haftungsausschluß!$L$21=1</xm:f>
            <x14:dxf>
              <font>
                <color theme="1"/>
              </font>
            </x14:dxf>
          </x14:cfRule>
          <xm:sqref>N242</xm:sqref>
        </x14:conditionalFormatting>
        <x14:conditionalFormatting xmlns:xm="http://schemas.microsoft.com/office/excel/2006/main">
          <x14:cfRule type="expression" priority="135" id="{EFFBE0D5-C2C2-4EB6-A0C6-4AF8A3682D27}">
            <xm:f>Haftungsausschluß!$L$21=0</xm:f>
            <x14:dxf>
              <font>
                <color theme="0"/>
              </font>
              <border>
                <left/>
                <right/>
                <top/>
                <bottom/>
                <vertical/>
                <horizontal/>
              </border>
            </x14:dxf>
          </x14:cfRule>
          <xm:sqref>N242</xm:sqref>
        </x14:conditionalFormatting>
        <x14:conditionalFormatting xmlns:xm="http://schemas.microsoft.com/office/excel/2006/main">
          <x14:cfRule type="expression" priority="134" id="{6B93FC02-1D23-41BF-8A0C-1430AD43040C}">
            <xm:f>Haftungsausschluß!$L$21=0</xm:f>
            <x14:dxf>
              <border>
                <left style="thin">
                  <color auto="1"/>
                </left>
                <vertical/>
                <horizontal/>
              </border>
            </x14:dxf>
          </x14:cfRule>
          <xm:sqref>N242</xm:sqref>
        </x14:conditionalFormatting>
        <x14:conditionalFormatting xmlns:xm="http://schemas.microsoft.com/office/excel/2006/main">
          <x14:cfRule type="expression" priority="133" id="{C5EB7A18-0F0D-4397-9777-948F831DE251}">
            <xm:f>Haftungsausschluß!$L$21=1</xm:f>
            <x14:dxf>
              <font>
                <color theme="1"/>
              </font>
            </x14:dxf>
          </x14:cfRule>
          <xm:sqref>N232</xm:sqref>
        </x14:conditionalFormatting>
        <x14:conditionalFormatting xmlns:xm="http://schemas.microsoft.com/office/excel/2006/main">
          <x14:cfRule type="expression" priority="132" id="{6169B5F1-2177-44F6-8F52-0BDB33E84215}">
            <xm:f>Haftungsausschluß!$L$21=0</xm:f>
            <x14:dxf>
              <font>
                <color theme="0"/>
              </font>
              <border>
                <left/>
                <right/>
                <top/>
                <bottom/>
                <vertical/>
                <horizontal/>
              </border>
            </x14:dxf>
          </x14:cfRule>
          <xm:sqref>N232</xm:sqref>
        </x14:conditionalFormatting>
        <x14:conditionalFormatting xmlns:xm="http://schemas.microsoft.com/office/excel/2006/main">
          <x14:cfRule type="expression" priority="131" id="{58871782-17D7-4171-9BD6-A7FD90C9BFDD}">
            <xm:f>Haftungsausschluß!$L$21=0</xm:f>
            <x14:dxf>
              <border>
                <left style="thin">
                  <color auto="1"/>
                </left>
                <vertical/>
                <horizontal/>
              </border>
            </x14:dxf>
          </x14:cfRule>
          <xm:sqref>N232</xm:sqref>
        </x14:conditionalFormatting>
        <x14:conditionalFormatting xmlns:xm="http://schemas.microsoft.com/office/excel/2006/main">
          <x14:cfRule type="expression" priority="130" id="{26E7BF49-530D-4BAF-BEBE-C25F685148E6}">
            <xm:f>Haftungsausschluß!$L$21=1</xm:f>
            <x14:dxf>
              <font>
                <color theme="1"/>
              </font>
            </x14:dxf>
          </x14:cfRule>
          <xm:sqref>N231</xm:sqref>
        </x14:conditionalFormatting>
        <x14:conditionalFormatting xmlns:xm="http://schemas.microsoft.com/office/excel/2006/main">
          <x14:cfRule type="expression" priority="129" id="{172DA6B4-1C63-4C76-8CA4-532C5E2B44AC}">
            <xm:f>Haftungsausschluß!$L$21=0</xm:f>
            <x14:dxf>
              <font>
                <color theme="0"/>
              </font>
              <border>
                <left/>
                <right/>
                <top/>
                <bottom/>
                <vertical/>
                <horizontal/>
              </border>
            </x14:dxf>
          </x14:cfRule>
          <xm:sqref>N231</xm:sqref>
        </x14:conditionalFormatting>
        <x14:conditionalFormatting xmlns:xm="http://schemas.microsoft.com/office/excel/2006/main">
          <x14:cfRule type="expression" priority="128" id="{902ABFE3-FF4F-4122-86DA-8BA9FEF4CA4F}">
            <xm:f>Haftungsausschluß!$L$21=0</xm:f>
            <x14:dxf>
              <border>
                <left style="thin">
                  <color auto="1"/>
                </left>
                <vertical/>
                <horizontal/>
              </border>
            </x14:dxf>
          </x14:cfRule>
          <xm:sqref>N231</xm:sqref>
        </x14:conditionalFormatting>
        <x14:conditionalFormatting xmlns:xm="http://schemas.microsoft.com/office/excel/2006/main">
          <x14:cfRule type="expression" priority="127" id="{177DE493-239B-4C72-A70E-4D1B7BF21381}">
            <xm:f>Haftungsausschluß!$L$21=1</xm:f>
            <x14:dxf>
              <font>
                <color theme="1"/>
              </font>
            </x14:dxf>
          </x14:cfRule>
          <xm:sqref>N230</xm:sqref>
        </x14:conditionalFormatting>
        <x14:conditionalFormatting xmlns:xm="http://schemas.microsoft.com/office/excel/2006/main">
          <x14:cfRule type="expression" priority="126" id="{0E0F9BED-4B5C-4247-89B8-C5B301C460BA}">
            <xm:f>Haftungsausschluß!$L$21=0</xm:f>
            <x14:dxf>
              <font>
                <color theme="0"/>
              </font>
              <border>
                <left/>
                <right/>
                <top/>
                <bottom/>
                <vertical/>
                <horizontal/>
              </border>
            </x14:dxf>
          </x14:cfRule>
          <xm:sqref>N230</xm:sqref>
        </x14:conditionalFormatting>
        <x14:conditionalFormatting xmlns:xm="http://schemas.microsoft.com/office/excel/2006/main">
          <x14:cfRule type="expression" priority="125" id="{BB005BE1-90D2-4964-9DBF-C49D55FEDE56}">
            <xm:f>Haftungsausschluß!$L$21=0</xm:f>
            <x14:dxf>
              <border>
                <left style="thin">
                  <color auto="1"/>
                </left>
                <vertical/>
                <horizontal/>
              </border>
            </x14:dxf>
          </x14:cfRule>
          <xm:sqref>N230</xm:sqref>
        </x14:conditionalFormatting>
        <x14:conditionalFormatting xmlns:xm="http://schemas.microsoft.com/office/excel/2006/main">
          <x14:cfRule type="expression" priority="124" id="{3B4D3775-9D0B-4835-902C-AC3A13BC96BB}">
            <xm:f>Haftungsausschluß!$L$21=1</xm:f>
            <x14:dxf>
              <font>
                <color theme="1"/>
              </font>
            </x14:dxf>
          </x14:cfRule>
          <xm:sqref>N229</xm:sqref>
        </x14:conditionalFormatting>
        <x14:conditionalFormatting xmlns:xm="http://schemas.microsoft.com/office/excel/2006/main">
          <x14:cfRule type="expression" priority="123" id="{2726DA23-AAE3-48AB-8B9E-E1AF0F602487}">
            <xm:f>Haftungsausschluß!$L$21=0</xm:f>
            <x14:dxf>
              <font>
                <color theme="0"/>
              </font>
              <border>
                <left/>
                <right/>
                <top/>
                <bottom/>
                <vertical/>
                <horizontal/>
              </border>
            </x14:dxf>
          </x14:cfRule>
          <xm:sqref>N229</xm:sqref>
        </x14:conditionalFormatting>
        <x14:conditionalFormatting xmlns:xm="http://schemas.microsoft.com/office/excel/2006/main">
          <x14:cfRule type="expression" priority="122" id="{29CD7577-EC2E-4280-B5CD-6B3B4A3E48D2}">
            <xm:f>Haftungsausschluß!$L$21=0</xm:f>
            <x14:dxf>
              <border>
                <left style="thin">
                  <color auto="1"/>
                </left>
                <vertical/>
                <horizontal/>
              </border>
            </x14:dxf>
          </x14:cfRule>
          <xm:sqref>N229</xm:sqref>
        </x14:conditionalFormatting>
        <x14:conditionalFormatting xmlns:xm="http://schemas.microsoft.com/office/excel/2006/main">
          <x14:cfRule type="expression" priority="121" id="{BDE6B5D0-5E01-404B-B8E5-37957A208C4D}">
            <xm:f>Haftungsausschluß!$L$21=1</xm:f>
            <x14:dxf>
              <font>
                <color theme="1"/>
              </font>
            </x14:dxf>
          </x14:cfRule>
          <xm:sqref>N228</xm:sqref>
        </x14:conditionalFormatting>
        <x14:conditionalFormatting xmlns:xm="http://schemas.microsoft.com/office/excel/2006/main">
          <x14:cfRule type="expression" priority="120" id="{7DED6639-7706-4604-A099-6499C0786B4F}">
            <xm:f>Haftungsausschluß!$L$21=0</xm:f>
            <x14:dxf>
              <font>
                <color theme="0"/>
              </font>
              <border>
                <left/>
                <right/>
                <top/>
                <bottom/>
                <vertical/>
                <horizontal/>
              </border>
            </x14:dxf>
          </x14:cfRule>
          <xm:sqref>N228</xm:sqref>
        </x14:conditionalFormatting>
        <x14:conditionalFormatting xmlns:xm="http://schemas.microsoft.com/office/excel/2006/main">
          <x14:cfRule type="expression" priority="119" id="{7027CC4C-611D-4C1C-8243-1E38FDDFA034}">
            <xm:f>Haftungsausschluß!$L$21=0</xm:f>
            <x14:dxf>
              <border>
                <left style="thin">
                  <color auto="1"/>
                </left>
                <vertical/>
                <horizontal/>
              </border>
            </x14:dxf>
          </x14:cfRule>
          <xm:sqref>N228</xm:sqref>
        </x14:conditionalFormatting>
        <x14:conditionalFormatting xmlns:xm="http://schemas.microsoft.com/office/excel/2006/main">
          <x14:cfRule type="expression" priority="118" id="{D1B60CAD-FBA1-4479-BC99-28C67BD9B1C0}">
            <xm:f>Haftungsausschluß!$L$21=1</xm:f>
            <x14:dxf>
              <font>
                <color theme="1"/>
              </font>
            </x14:dxf>
          </x14:cfRule>
          <xm:sqref>N227</xm:sqref>
        </x14:conditionalFormatting>
        <x14:conditionalFormatting xmlns:xm="http://schemas.microsoft.com/office/excel/2006/main">
          <x14:cfRule type="expression" priority="117" id="{6EAD76DF-D161-40AA-81F5-8ABF1B2E9B89}">
            <xm:f>Haftungsausschluß!$L$21=0</xm:f>
            <x14:dxf>
              <font>
                <color theme="0"/>
              </font>
              <border>
                <left/>
                <right/>
                <top/>
                <bottom/>
                <vertical/>
                <horizontal/>
              </border>
            </x14:dxf>
          </x14:cfRule>
          <xm:sqref>N227</xm:sqref>
        </x14:conditionalFormatting>
        <x14:conditionalFormatting xmlns:xm="http://schemas.microsoft.com/office/excel/2006/main">
          <x14:cfRule type="expression" priority="116" id="{7F9D0EFC-B3E6-48C4-9B04-E41F2084E5EC}">
            <xm:f>Haftungsausschluß!$L$21=0</xm:f>
            <x14:dxf>
              <border>
                <left style="thin">
                  <color auto="1"/>
                </left>
                <vertical/>
                <horizontal/>
              </border>
            </x14:dxf>
          </x14:cfRule>
          <xm:sqref>N227</xm:sqref>
        </x14:conditionalFormatting>
        <x14:conditionalFormatting xmlns:xm="http://schemas.microsoft.com/office/excel/2006/main">
          <x14:cfRule type="expression" priority="115" id="{773C706F-E2BE-42DC-A7D3-2B0C332EFE02}">
            <xm:f>Haftungsausschluß!$L$21=1</xm:f>
            <x14:dxf>
              <font>
                <color theme="1"/>
              </font>
            </x14:dxf>
          </x14:cfRule>
          <xm:sqref>N226</xm:sqref>
        </x14:conditionalFormatting>
        <x14:conditionalFormatting xmlns:xm="http://schemas.microsoft.com/office/excel/2006/main">
          <x14:cfRule type="expression" priority="114" id="{92FAEC8C-099C-4BC7-A6B7-C6A77369B9B4}">
            <xm:f>Haftungsausschluß!$L$21=0</xm:f>
            <x14:dxf>
              <font>
                <color theme="0"/>
              </font>
              <border>
                <left/>
                <right/>
                <top/>
                <bottom/>
                <vertical/>
                <horizontal/>
              </border>
            </x14:dxf>
          </x14:cfRule>
          <xm:sqref>N226</xm:sqref>
        </x14:conditionalFormatting>
        <x14:conditionalFormatting xmlns:xm="http://schemas.microsoft.com/office/excel/2006/main">
          <x14:cfRule type="expression" priority="113" id="{1B7AAF05-1540-4DED-A252-E229765E1EDF}">
            <xm:f>Haftungsausschluß!$L$21=0</xm:f>
            <x14:dxf>
              <border>
                <left style="thin">
                  <color auto="1"/>
                </left>
                <vertical/>
                <horizontal/>
              </border>
            </x14:dxf>
          </x14:cfRule>
          <xm:sqref>N226</xm:sqref>
        </x14:conditionalFormatting>
        <x14:conditionalFormatting xmlns:xm="http://schemas.microsoft.com/office/excel/2006/main">
          <x14:cfRule type="expression" priority="112" id="{AF22A620-89AB-4FC8-9784-781154E58FFB}">
            <xm:f>Haftungsausschluß!$L$21=1</xm:f>
            <x14:dxf>
              <font>
                <color theme="1"/>
              </font>
            </x14:dxf>
          </x14:cfRule>
          <xm:sqref>N225</xm:sqref>
        </x14:conditionalFormatting>
        <x14:conditionalFormatting xmlns:xm="http://schemas.microsoft.com/office/excel/2006/main">
          <x14:cfRule type="expression" priority="111" id="{3084D4AA-7A91-47B9-95A5-C98FB1FEAD56}">
            <xm:f>Haftungsausschluß!$L$21=0</xm:f>
            <x14:dxf>
              <font>
                <color theme="0"/>
              </font>
              <border>
                <left/>
                <right/>
                <top/>
                <bottom/>
                <vertical/>
                <horizontal/>
              </border>
            </x14:dxf>
          </x14:cfRule>
          <xm:sqref>N225</xm:sqref>
        </x14:conditionalFormatting>
        <x14:conditionalFormatting xmlns:xm="http://schemas.microsoft.com/office/excel/2006/main">
          <x14:cfRule type="expression" priority="110" id="{C53BA5D2-E7B7-445F-8303-182C994C87E0}">
            <xm:f>Haftungsausschluß!$L$21=0</xm:f>
            <x14:dxf>
              <border>
                <left style="thin">
                  <color auto="1"/>
                </left>
                <vertical/>
                <horizontal/>
              </border>
            </x14:dxf>
          </x14:cfRule>
          <xm:sqref>N225</xm:sqref>
        </x14:conditionalFormatting>
        <x14:conditionalFormatting xmlns:xm="http://schemas.microsoft.com/office/excel/2006/main">
          <x14:cfRule type="expression" priority="109" id="{D04CC726-9BF1-4E28-95F2-C1660689F2C9}">
            <xm:f>Haftungsausschluß!$L$21=1</xm:f>
            <x14:dxf>
              <font>
                <color theme="1"/>
              </font>
            </x14:dxf>
          </x14:cfRule>
          <xm:sqref>N224</xm:sqref>
        </x14:conditionalFormatting>
        <x14:conditionalFormatting xmlns:xm="http://schemas.microsoft.com/office/excel/2006/main">
          <x14:cfRule type="expression" priority="108" id="{0EA01039-62C3-4643-8C86-6064BAEDFA8A}">
            <xm:f>Haftungsausschluß!$L$21=0</xm:f>
            <x14:dxf>
              <font>
                <color theme="0"/>
              </font>
              <border>
                <left/>
                <right/>
                <top/>
                <bottom/>
                <vertical/>
                <horizontal/>
              </border>
            </x14:dxf>
          </x14:cfRule>
          <xm:sqref>N224</xm:sqref>
        </x14:conditionalFormatting>
        <x14:conditionalFormatting xmlns:xm="http://schemas.microsoft.com/office/excel/2006/main">
          <x14:cfRule type="expression" priority="107" id="{13417B59-4767-4409-B3C6-27EC86A870D0}">
            <xm:f>Haftungsausschluß!$L$21=0</xm:f>
            <x14:dxf>
              <border>
                <left style="thin">
                  <color auto="1"/>
                </left>
                <vertical/>
                <horizontal/>
              </border>
            </x14:dxf>
          </x14:cfRule>
          <xm:sqref>N224</xm:sqref>
        </x14:conditionalFormatting>
        <x14:conditionalFormatting xmlns:xm="http://schemas.microsoft.com/office/excel/2006/main">
          <x14:cfRule type="expression" priority="106" id="{DC58D914-FE26-47FC-9AE5-57F69FB34A44}">
            <xm:f>Haftungsausschluß!$L$21=1</xm:f>
            <x14:dxf>
              <font>
                <color theme="1"/>
              </font>
            </x14:dxf>
          </x14:cfRule>
          <xm:sqref>N223</xm:sqref>
        </x14:conditionalFormatting>
        <x14:conditionalFormatting xmlns:xm="http://schemas.microsoft.com/office/excel/2006/main">
          <x14:cfRule type="expression" priority="105" id="{BF7AD008-E0E0-4E35-97A6-E8F13E6DE97E}">
            <xm:f>Haftungsausschluß!$L$21=0</xm:f>
            <x14:dxf>
              <font>
                <color theme="0"/>
              </font>
              <border>
                <left/>
                <right/>
                <top/>
                <bottom/>
                <vertical/>
                <horizontal/>
              </border>
            </x14:dxf>
          </x14:cfRule>
          <xm:sqref>N223</xm:sqref>
        </x14:conditionalFormatting>
        <x14:conditionalFormatting xmlns:xm="http://schemas.microsoft.com/office/excel/2006/main">
          <x14:cfRule type="expression" priority="104" id="{51F5E79F-EBE6-4468-980B-F53471F697FB}">
            <xm:f>Haftungsausschluß!$L$21=0</xm:f>
            <x14:dxf>
              <border>
                <left style="thin">
                  <color auto="1"/>
                </left>
                <vertical/>
                <horizontal/>
              </border>
            </x14:dxf>
          </x14:cfRule>
          <xm:sqref>N223</xm:sqref>
        </x14:conditionalFormatting>
        <x14:conditionalFormatting xmlns:xm="http://schemas.microsoft.com/office/excel/2006/main">
          <x14:cfRule type="expression" priority="103" id="{D6F0FA4C-07E8-4DC7-840F-FCE28DAF7B73}">
            <xm:f>Haftungsausschluß!$L$21=1</xm:f>
            <x14:dxf>
              <font>
                <color theme="1"/>
              </font>
            </x14:dxf>
          </x14:cfRule>
          <xm:sqref>N222</xm:sqref>
        </x14:conditionalFormatting>
        <x14:conditionalFormatting xmlns:xm="http://schemas.microsoft.com/office/excel/2006/main">
          <x14:cfRule type="expression" priority="102" id="{8A7C79CC-8120-4937-A169-D06CC2FBFA1B}">
            <xm:f>Haftungsausschluß!$L$21=0</xm:f>
            <x14:dxf>
              <font>
                <color theme="0"/>
              </font>
              <border>
                <left/>
                <right/>
                <top/>
                <bottom/>
                <vertical/>
                <horizontal/>
              </border>
            </x14:dxf>
          </x14:cfRule>
          <xm:sqref>N222</xm:sqref>
        </x14:conditionalFormatting>
        <x14:conditionalFormatting xmlns:xm="http://schemas.microsoft.com/office/excel/2006/main">
          <x14:cfRule type="expression" priority="101" id="{0BF7DC62-8F54-41BA-A521-28BC0FAAE709}">
            <xm:f>Haftungsausschluß!$L$21=0</xm:f>
            <x14:dxf>
              <border>
                <left style="thin">
                  <color auto="1"/>
                </left>
                <vertical/>
                <horizontal/>
              </border>
            </x14:dxf>
          </x14:cfRule>
          <xm:sqref>N222</xm:sqref>
        </x14:conditionalFormatting>
        <x14:conditionalFormatting xmlns:xm="http://schemas.microsoft.com/office/excel/2006/main">
          <x14:cfRule type="expression" priority="100" id="{542FC429-D4C3-4357-A333-03F1DC1EFFCB}">
            <xm:f>Haftungsausschluß!$L$21=1</xm:f>
            <x14:dxf>
              <font>
                <color theme="1"/>
              </font>
            </x14:dxf>
          </x14:cfRule>
          <xm:sqref>N221</xm:sqref>
        </x14:conditionalFormatting>
        <x14:conditionalFormatting xmlns:xm="http://schemas.microsoft.com/office/excel/2006/main">
          <x14:cfRule type="expression" priority="99" id="{E840F7E4-4B57-47DD-8ACF-4E8BB39C2B3E}">
            <xm:f>Haftungsausschluß!$L$21=0</xm:f>
            <x14:dxf>
              <font>
                <color theme="0"/>
              </font>
              <border>
                <left/>
                <right/>
                <top/>
                <bottom/>
                <vertical/>
                <horizontal/>
              </border>
            </x14:dxf>
          </x14:cfRule>
          <xm:sqref>N221</xm:sqref>
        </x14:conditionalFormatting>
        <x14:conditionalFormatting xmlns:xm="http://schemas.microsoft.com/office/excel/2006/main">
          <x14:cfRule type="expression" priority="98" id="{F87DFBB4-06F7-488A-BAB0-2F33D7B4BEE9}">
            <xm:f>Haftungsausschluß!$L$21=0</xm:f>
            <x14:dxf>
              <border>
                <left style="thin">
                  <color auto="1"/>
                </left>
                <vertical/>
                <horizontal/>
              </border>
            </x14:dxf>
          </x14:cfRule>
          <xm:sqref>N221</xm:sqref>
        </x14:conditionalFormatting>
        <x14:conditionalFormatting xmlns:xm="http://schemas.microsoft.com/office/excel/2006/main">
          <x14:cfRule type="expression" priority="97" id="{675C70AB-3527-4C96-AF99-C8BB9C0D33CF}">
            <xm:f>Haftungsausschluß!$L$21=1</xm:f>
            <x14:dxf>
              <font>
                <color theme="1"/>
              </font>
            </x14:dxf>
          </x14:cfRule>
          <xm:sqref>N220</xm:sqref>
        </x14:conditionalFormatting>
        <x14:conditionalFormatting xmlns:xm="http://schemas.microsoft.com/office/excel/2006/main">
          <x14:cfRule type="expression" priority="96" id="{07BD49E8-B73A-4B81-A742-0104A02226C2}">
            <xm:f>Haftungsausschluß!$L$21=0</xm:f>
            <x14:dxf>
              <font>
                <color theme="0"/>
              </font>
              <border>
                <left/>
                <right/>
                <top/>
                <bottom/>
                <vertical/>
                <horizontal/>
              </border>
            </x14:dxf>
          </x14:cfRule>
          <xm:sqref>N220</xm:sqref>
        </x14:conditionalFormatting>
        <x14:conditionalFormatting xmlns:xm="http://schemas.microsoft.com/office/excel/2006/main">
          <x14:cfRule type="expression" priority="95" id="{2E539750-601E-45CE-B384-4D976C128091}">
            <xm:f>Haftungsausschluß!$L$21=0</xm:f>
            <x14:dxf>
              <border>
                <left style="thin">
                  <color auto="1"/>
                </left>
                <vertical/>
                <horizontal/>
              </border>
            </x14:dxf>
          </x14:cfRule>
          <xm:sqref>N220</xm:sqref>
        </x14:conditionalFormatting>
        <x14:conditionalFormatting xmlns:xm="http://schemas.microsoft.com/office/excel/2006/main">
          <x14:cfRule type="expression" priority="94" id="{EE990187-E99B-497D-A48B-8BB812A5F243}">
            <xm:f>Haftungsausschluß!$L$21=1</xm:f>
            <x14:dxf>
              <font>
                <color theme="1"/>
              </font>
            </x14:dxf>
          </x14:cfRule>
          <xm:sqref>N219</xm:sqref>
        </x14:conditionalFormatting>
        <x14:conditionalFormatting xmlns:xm="http://schemas.microsoft.com/office/excel/2006/main">
          <x14:cfRule type="expression" priority="93" id="{987F4177-D67E-41BB-9D1E-E9BF5C261448}">
            <xm:f>Haftungsausschluß!$L$21=0</xm:f>
            <x14:dxf>
              <font>
                <color theme="0"/>
              </font>
              <border>
                <left/>
                <right/>
                <top/>
                <bottom/>
                <vertical/>
                <horizontal/>
              </border>
            </x14:dxf>
          </x14:cfRule>
          <xm:sqref>N219</xm:sqref>
        </x14:conditionalFormatting>
        <x14:conditionalFormatting xmlns:xm="http://schemas.microsoft.com/office/excel/2006/main">
          <x14:cfRule type="expression" priority="92" id="{9231E577-08AA-41C7-AAA4-EA7AE655174D}">
            <xm:f>Haftungsausschluß!$L$21=0</xm:f>
            <x14:dxf>
              <border>
                <left style="thin">
                  <color auto="1"/>
                </left>
                <vertical/>
                <horizontal/>
              </border>
            </x14:dxf>
          </x14:cfRule>
          <xm:sqref>N219</xm:sqref>
        </x14:conditionalFormatting>
        <x14:conditionalFormatting xmlns:xm="http://schemas.microsoft.com/office/excel/2006/main">
          <x14:cfRule type="expression" priority="91" id="{BED170FD-8ABF-455A-90DA-6358728A6C35}">
            <xm:f>Haftungsausschluß!$L$21=1</xm:f>
            <x14:dxf>
              <font>
                <color theme="1"/>
              </font>
            </x14:dxf>
          </x14:cfRule>
          <xm:sqref>N218</xm:sqref>
        </x14:conditionalFormatting>
        <x14:conditionalFormatting xmlns:xm="http://schemas.microsoft.com/office/excel/2006/main">
          <x14:cfRule type="expression" priority="90" id="{5CF837C1-292B-4F31-9106-FBB7B3707E3F}">
            <xm:f>Haftungsausschluß!$L$21=0</xm:f>
            <x14:dxf>
              <font>
                <color theme="0"/>
              </font>
              <border>
                <left/>
                <right/>
                <top/>
                <bottom/>
                <vertical/>
                <horizontal/>
              </border>
            </x14:dxf>
          </x14:cfRule>
          <xm:sqref>N218</xm:sqref>
        </x14:conditionalFormatting>
        <x14:conditionalFormatting xmlns:xm="http://schemas.microsoft.com/office/excel/2006/main">
          <x14:cfRule type="expression" priority="89" id="{224B0CAE-53EC-4ACD-96C9-0E4FD267A7E8}">
            <xm:f>Haftungsausschluß!$L$21=0</xm:f>
            <x14:dxf>
              <border>
                <left style="thin">
                  <color auto="1"/>
                </left>
                <vertical/>
                <horizontal/>
              </border>
            </x14:dxf>
          </x14:cfRule>
          <xm:sqref>N218</xm:sqref>
        </x14:conditionalFormatting>
        <x14:conditionalFormatting xmlns:xm="http://schemas.microsoft.com/office/excel/2006/main">
          <x14:cfRule type="expression" priority="88" id="{28019229-A143-4FE0-8429-DC20E79D0631}">
            <xm:f>Haftungsausschluß!$L$21=1</xm:f>
            <x14:dxf>
              <font>
                <color theme="1"/>
              </font>
            </x14:dxf>
          </x14:cfRule>
          <xm:sqref>N217</xm:sqref>
        </x14:conditionalFormatting>
        <x14:conditionalFormatting xmlns:xm="http://schemas.microsoft.com/office/excel/2006/main">
          <x14:cfRule type="expression" priority="87" id="{7C8E4983-0C6C-4CB4-8165-7DBD6F6A716E}">
            <xm:f>Haftungsausschluß!$L$21=0</xm:f>
            <x14:dxf>
              <font>
                <color theme="0"/>
              </font>
              <border>
                <left/>
                <right/>
                <top/>
                <bottom/>
                <vertical/>
                <horizontal/>
              </border>
            </x14:dxf>
          </x14:cfRule>
          <xm:sqref>N217</xm:sqref>
        </x14:conditionalFormatting>
        <x14:conditionalFormatting xmlns:xm="http://schemas.microsoft.com/office/excel/2006/main">
          <x14:cfRule type="expression" priority="86" id="{6F86D47C-067C-453C-8C58-1FFDD6291E54}">
            <xm:f>Haftungsausschluß!$L$21=0</xm:f>
            <x14:dxf>
              <border>
                <left style="thin">
                  <color auto="1"/>
                </left>
                <vertical/>
                <horizontal/>
              </border>
            </x14:dxf>
          </x14:cfRule>
          <xm:sqref>N217</xm:sqref>
        </x14:conditionalFormatting>
        <x14:conditionalFormatting xmlns:xm="http://schemas.microsoft.com/office/excel/2006/main">
          <x14:cfRule type="expression" priority="85" id="{6760E150-A885-4BCC-9D27-0F7C31A133DC}">
            <xm:f>Haftungsausschluß!$L$21=1</xm:f>
            <x14:dxf>
              <font>
                <color theme="1"/>
              </font>
            </x14:dxf>
          </x14:cfRule>
          <xm:sqref>N216</xm:sqref>
        </x14:conditionalFormatting>
        <x14:conditionalFormatting xmlns:xm="http://schemas.microsoft.com/office/excel/2006/main">
          <x14:cfRule type="expression" priority="84" id="{CC931A89-8FF4-48EA-BC63-391DD6AA34D2}">
            <xm:f>Haftungsausschluß!$L$21=0</xm:f>
            <x14:dxf>
              <font>
                <color theme="0"/>
              </font>
              <border>
                <left/>
                <right/>
                <top/>
                <bottom/>
                <vertical/>
                <horizontal/>
              </border>
            </x14:dxf>
          </x14:cfRule>
          <xm:sqref>N216</xm:sqref>
        </x14:conditionalFormatting>
        <x14:conditionalFormatting xmlns:xm="http://schemas.microsoft.com/office/excel/2006/main">
          <x14:cfRule type="expression" priority="83" id="{27887E3F-3403-4E47-A6D9-E48E9A1D6425}">
            <xm:f>Haftungsausschluß!$L$21=0</xm:f>
            <x14:dxf>
              <border>
                <left style="thin">
                  <color auto="1"/>
                </left>
                <vertical/>
                <horizontal/>
              </border>
            </x14:dxf>
          </x14:cfRule>
          <xm:sqref>N216</xm:sqref>
        </x14:conditionalFormatting>
        <x14:conditionalFormatting xmlns:xm="http://schemas.microsoft.com/office/excel/2006/main">
          <x14:cfRule type="expression" priority="82" id="{D68BCF49-F6F8-4267-9A62-603C975B7CED}">
            <xm:f>Haftungsausschluß!$L$21=1</xm:f>
            <x14:dxf>
              <font>
                <color theme="1"/>
              </font>
            </x14:dxf>
          </x14:cfRule>
          <xm:sqref>N215</xm:sqref>
        </x14:conditionalFormatting>
        <x14:conditionalFormatting xmlns:xm="http://schemas.microsoft.com/office/excel/2006/main">
          <x14:cfRule type="expression" priority="81" id="{B83AAEB5-2849-4A02-96C4-8BD7EA726423}">
            <xm:f>Haftungsausschluß!$L$21=0</xm:f>
            <x14:dxf>
              <font>
                <color theme="0"/>
              </font>
              <border>
                <left/>
                <right/>
                <top/>
                <bottom/>
                <vertical/>
                <horizontal/>
              </border>
            </x14:dxf>
          </x14:cfRule>
          <xm:sqref>N215</xm:sqref>
        </x14:conditionalFormatting>
        <x14:conditionalFormatting xmlns:xm="http://schemas.microsoft.com/office/excel/2006/main">
          <x14:cfRule type="expression" priority="80" id="{1495A742-8050-495B-8E14-AB6CA1E89A6D}">
            <xm:f>Haftungsausschluß!$L$21=0</xm:f>
            <x14:dxf>
              <border>
                <left style="thin">
                  <color auto="1"/>
                </left>
                <vertical/>
                <horizontal/>
              </border>
            </x14:dxf>
          </x14:cfRule>
          <xm:sqref>N215</xm:sqref>
        </x14:conditionalFormatting>
        <x14:conditionalFormatting xmlns:xm="http://schemas.microsoft.com/office/excel/2006/main">
          <x14:cfRule type="expression" priority="79" id="{59D68233-EBB5-4699-8026-E0F9D46431D3}">
            <xm:f>Haftungsausschluß!$L$21=1</xm:f>
            <x14:dxf>
              <font>
                <color theme="1"/>
              </font>
            </x14:dxf>
          </x14:cfRule>
          <xm:sqref>N214</xm:sqref>
        </x14:conditionalFormatting>
        <x14:conditionalFormatting xmlns:xm="http://schemas.microsoft.com/office/excel/2006/main">
          <x14:cfRule type="expression" priority="78" id="{E7F419A9-5EE4-498B-B9C7-C63147CB7A71}">
            <xm:f>Haftungsausschluß!$L$21=0</xm:f>
            <x14:dxf>
              <font>
                <color theme="0"/>
              </font>
              <border>
                <left/>
                <right/>
                <top/>
                <bottom/>
                <vertical/>
                <horizontal/>
              </border>
            </x14:dxf>
          </x14:cfRule>
          <xm:sqref>N214</xm:sqref>
        </x14:conditionalFormatting>
        <x14:conditionalFormatting xmlns:xm="http://schemas.microsoft.com/office/excel/2006/main">
          <x14:cfRule type="expression" priority="77" id="{21510C61-DFA0-4C38-BD33-3B61703CA11B}">
            <xm:f>Haftungsausschluß!$L$21=0</xm:f>
            <x14:dxf>
              <border>
                <left style="thin">
                  <color auto="1"/>
                </left>
                <vertical/>
                <horizontal/>
              </border>
            </x14:dxf>
          </x14:cfRule>
          <xm:sqref>N214</xm:sqref>
        </x14:conditionalFormatting>
        <x14:conditionalFormatting xmlns:xm="http://schemas.microsoft.com/office/excel/2006/main">
          <x14:cfRule type="expression" priority="76" id="{F490D67D-2AAA-48E6-B25B-6B048D6CA347}">
            <xm:f>Haftungsausschluß!$L$21=1</xm:f>
            <x14:dxf>
              <font>
                <color theme="1"/>
              </font>
            </x14:dxf>
          </x14:cfRule>
          <xm:sqref>N213</xm:sqref>
        </x14:conditionalFormatting>
        <x14:conditionalFormatting xmlns:xm="http://schemas.microsoft.com/office/excel/2006/main">
          <x14:cfRule type="expression" priority="75" id="{6701EC01-D709-442A-9080-3EDEA9DE1238}">
            <xm:f>Haftungsausschluß!$L$21=0</xm:f>
            <x14:dxf>
              <font>
                <color theme="0"/>
              </font>
              <border>
                <left/>
                <right/>
                <top/>
                <bottom/>
                <vertical/>
                <horizontal/>
              </border>
            </x14:dxf>
          </x14:cfRule>
          <xm:sqref>N213</xm:sqref>
        </x14:conditionalFormatting>
        <x14:conditionalFormatting xmlns:xm="http://schemas.microsoft.com/office/excel/2006/main">
          <x14:cfRule type="expression" priority="74" id="{62C46B7A-EE4F-4422-BD39-8165C2C4AD07}">
            <xm:f>Haftungsausschluß!$L$21=0</xm:f>
            <x14:dxf>
              <border>
                <left style="thin">
                  <color auto="1"/>
                </left>
                <vertical/>
                <horizontal/>
              </border>
            </x14:dxf>
          </x14:cfRule>
          <xm:sqref>N213</xm:sqref>
        </x14:conditionalFormatting>
        <x14:conditionalFormatting xmlns:xm="http://schemas.microsoft.com/office/excel/2006/main">
          <x14:cfRule type="expression" priority="73" id="{C26755F5-5768-4348-B4B3-0ED2C7BB5553}">
            <xm:f>Haftungsausschluß!$L$21=1</xm:f>
            <x14:dxf>
              <font>
                <color theme="1"/>
              </font>
            </x14:dxf>
          </x14:cfRule>
          <xm:sqref>N212</xm:sqref>
        </x14:conditionalFormatting>
        <x14:conditionalFormatting xmlns:xm="http://schemas.microsoft.com/office/excel/2006/main">
          <x14:cfRule type="expression" priority="72" id="{A1B95634-3A30-4D6F-9014-E58BF301F419}">
            <xm:f>Haftungsausschluß!$L$21=0</xm:f>
            <x14:dxf>
              <font>
                <color theme="0"/>
              </font>
              <border>
                <left/>
                <right/>
                <top/>
                <bottom/>
                <vertical/>
                <horizontal/>
              </border>
            </x14:dxf>
          </x14:cfRule>
          <xm:sqref>N212</xm:sqref>
        </x14:conditionalFormatting>
        <x14:conditionalFormatting xmlns:xm="http://schemas.microsoft.com/office/excel/2006/main">
          <x14:cfRule type="expression" priority="71" id="{3CAA8031-844C-4CDF-BAB7-5CDF4D2C7750}">
            <xm:f>Haftungsausschluß!$L$21=0</xm:f>
            <x14:dxf>
              <border>
                <left style="thin">
                  <color auto="1"/>
                </left>
                <vertical/>
                <horizontal/>
              </border>
            </x14:dxf>
          </x14:cfRule>
          <xm:sqref>N212</xm:sqref>
        </x14:conditionalFormatting>
        <x14:conditionalFormatting xmlns:xm="http://schemas.microsoft.com/office/excel/2006/main">
          <x14:cfRule type="expression" priority="70" id="{D777BDB9-1315-4642-A16B-8AB6697F1797}">
            <xm:f>Haftungsausschluß!$L$21=1</xm:f>
            <x14:dxf>
              <font>
                <color theme="1"/>
              </font>
            </x14:dxf>
          </x14:cfRule>
          <xm:sqref>N241</xm:sqref>
        </x14:conditionalFormatting>
        <x14:conditionalFormatting xmlns:xm="http://schemas.microsoft.com/office/excel/2006/main">
          <x14:cfRule type="expression" priority="69" id="{35A56503-8C02-4B6B-B72B-21163DB74CE2}">
            <xm:f>Haftungsausschluß!$L$21=0</xm:f>
            <x14:dxf>
              <font>
                <color theme="0"/>
              </font>
              <border>
                <left/>
                <right/>
                <top/>
                <bottom/>
                <vertical/>
                <horizontal/>
              </border>
            </x14:dxf>
          </x14:cfRule>
          <xm:sqref>N241</xm:sqref>
        </x14:conditionalFormatting>
        <x14:conditionalFormatting xmlns:xm="http://schemas.microsoft.com/office/excel/2006/main">
          <x14:cfRule type="expression" priority="68" id="{392336BB-2770-4DEC-A0FE-EFB6AB1CEAB8}">
            <xm:f>Haftungsausschluß!$L$21=0</xm:f>
            <x14:dxf>
              <border>
                <left style="thin">
                  <color auto="1"/>
                </left>
                <vertical/>
                <horizontal/>
              </border>
            </x14:dxf>
          </x14:cfRule>
          <xm:sqref>N241</xm:sqref>
        </x14:conditionalFormatting>
        <x14:conditionalFormatting xmlns:xm="http://schemas.microsoft.com/office/excel/2006/main">
          <x14:cfRule type="expression" priority="67" id="{D0456772-134F-44BC-8EDE-3CFBFA51386A}">
            <xm:f>Haftungsausschluß!$L$21=1</xm:f>
            <x14:dxf>
              <font>
                <color theme="1"/>
              </font>
            </x14:dxf>
          </x14:cfRule>
          <xm:sqref>N240</xm:sqref>
        </x14:conditionalFormatting>
        <x14:conditionalFormatting xmlns:xm="http://schemas.microsoft.com/office/excel/2006/main">
          <x14:cfRule type="expression" priority="66" id="{5629DB38-140C-413B-9875-12AD9B247101}">
            <xm:f>Haftungsausschluß!$L$21=0</xm:f>
            <x14:dxf>
              <font>
                <color theme="0"/>
              </font>
              <border>
                <left/>
                <right/>
                <top/>
                <bottom/>
                <vertical/>
                <horizontal/>
              </border>
            </x14:dxf>
          </x14:cfRule>
          <xm:sqref>N240</xm:sqref>
        </x14:conditionalFormatting>
        <x14:conditionalFormatting xmlns:xm="http://schemas.microsoft.com/office/excel/2006/main">
          <x14:cfRule type="expression" priority="65" id="{36F0A99A-F573-4195-8DEC-B9C6E6113E8D}">
            <xm:f>Haftungsausschluß!$L$21=0</xm:f>
            <x14:dxf>
              <border>
                <left style="thin">
                  <color auto="1"/>
                </left>
                <vertical/>
                <horizontal/>
              </border>
            </x14:dxf>
          </x14:cfRule>
          <xm:sqref>N240</xm:sqref>
        </x14:conditionalFormatting>
        <x14:conditionalFormatting xmlns:xm="http://schemas.microsoft.com/office/excel/2006/main">
          <x14:cfRule type="expression" priority="64" id="{70439B48-0126-4195-9F01-E117AAD3F7BE}">
            <xm:f>Haftungsausschluß!$L$21=1</xm:f>
            <x14:dxf>
              <font>
                <color theme="1"/>
              </font>
            </x14:dxf>
          </x14:cfRule>
          <xm:sqref>N239</xm:sqref>
        </x14:conditionalFormatting>
        <x14:conditionalFormatting xmlns:xm="http://schemas.microsoft.com/office/excel/2006/main">
          <x14:cfRule type="expression" priority="63" id="{F2383D3D-A5B5-4A56-98CF-52891AD6504F}">
            <xm:f>Haftungsausschluß!$L$21=0</xm:f>
            <x14:dxf>
              <font>
                <color theme="0"/>
              </font>
              <border>
                <left/>
                <right/>
                <top/>
                <bottom/>
                <vertical/>
                <horizontal/>
              </border>
            </x14:dxf>
          </x14:cfRule>
          <xm:sqref>N239</xm:sqref>
        </x14:conditionalFormatting>
        <x14:conditionalFormatting xmlns:xm="http://schemas.microsoft.com/office/excel/2006/main">
          <x14:cfRule type="expression" priority="62" id="{0F95606C-9C28-4A7D-9DAF-DC0EE8088E8A}">
            <xm:f>Haftungsausschluß!$L$21=0</xm:f>
            <x14:dxf>
              <border>
                <left style="thin">
                  <color auto="1"/>
                </left>
                <vertical/>
                <horizontal/>
              </border>
            </x14:dxf>
          </x14:cfRule>
          <xm:sqref>N239</xm:sqref>
        </x14:conditionalFormatting>
        <x14:conditionalFormatting xmlns:xm="http://schemas.microsoft.com/office/excel/2006/main">
          <x14:cfRule type="expression" priority="61" id="{B3C1E6B6-A984-42AB-AA19-52F1484F1FBD}">
            <xm:f>Haftungsausschluß!$L$21=1</xm:f>
            <x14:dxf>
              <font>
                <color theme="1"/>
              </font>
            </x14:dxf>
          </x14:cfRule>
          <xm:sqref>N238</xm:sqref>
        </x14:conditionalFormatting>
        <x14:conditionalFormatting xmlns:xm="http://schemas.microsoft.com/office/excel/2006/main">
          <x14:cfRule type="expression" priority="60" id="{DDE5761E-97B0-4F10-A720-DC02D7479003}">
            <xm:f>Haftungsausschluß!$L$21=0</xm:f>
            <x14:dxf>
              <font>
                <color theme="0"/>
              </font>
              <border>
                <left/>
                <right/>
                <top/>
                <bottom/>
                <vertical/>
                <horizontal/>
              </border>
            </x14:dxf>
          </x14:cfRule>
          <xm:sqref>N238</xm:sqref>
        </x14:conditionalFormatting>
        <x14:conditionalFormatting xmlns:xm="http://schemas.microsoft.com/office/excel/2006/main">
          <x14:cfRule type="expression" priority="59" id="{9C7A2CFE-F567-401C-A8F6-A1699C7D348E}">
            <xm:f>Haftungsausschluß!$L$21=0</xm:f>
            <x14:dxf>
              <border>
                <left style="thin">
                  <color auto="1"/>
                </left>
                <vertical/>
                <horizontal/>
              </border>
            </x14:dxf>
          </x14:cfRule>
          <xm:sqref>N238</xm:sqref>
        </x14:conditionalFormatting>
        <x14:conditionalFormatting xmlns:xm="http://schemas.microsoft.com/office/excel/2006/main">
          <x14:cfRule type="expression" priority="58" id="{4FA169F0-FD3D-49C8-A6BA-4F4B69FBB103}">
            <xm:f>Haftungsausschluß!$L$21=1</xm:f>
            <x14:dxf>
              <font>
                <color theme="1"/>
              </font>
            </x14:dxf>
          </x14:cfRule>
          <xm:sqref>N237</xm:sqref>
        </x14:conditionalFormatting>
        <x14:conditionalFormatting xmlns:xm="http://schemas.microsoft.com/office/excel/2006/main">
          <x14:cfRule type="expression" priority="57" id="{70E9F413-8D69-4D44-845E-23EF4E19938E}">
            <xm:f>Haftungsausschluß!$L$21=0</xm:f>
            <x14:dxf>
              <font>
                <color theme="0"/>
              </font>
              <border>
                <left/>
                <right/>
                <top/>
                <bottom/>
                <vertical/>
                <horizontal/>
              </border>
            </x14:dxf>
          </x14:cfRule>
          <xm:sqref>N237</xm:sqref>
        </x14:conditionalFormatting>
        <x14:conditionalFormatting xmlns:xm="http://schemas.microsoft.com/office/excel/2006/main">
          <x14:cfRule type="expression" priority="56" id="{F567E099-EBC7-4405-AB8B-EE29B36C4055}">
            <xm:f>Haftungsausschluß!$L$21=0</xm:f>
            <x14:dxf>
              <border>
                <left style="thin">
                  <color auto="1"/>
                </left>
                <vertical/>
                <horizontal/>
              </border>
            </x14:dxf>
          </x14:cfRule>
          <xm:sqref>N237</xm:sqref>
        </x14:conditionalFormatting>
        <x14:conditionalFormatting xmlns:xm="http://schemas.microsoft.com/office/excel/2006/main">
          <x14:cfRule type="expression" priority="55" id="{F3AE3DFC-78F8-4588-9025-F730AB185041}">
            <xm:f>Haftungsausschluß!$L$21=1</xm:f>
            <x14:dxf>
              <font>
                <color theme="1"/>
              </font>
            </x14:dxf>
          </x14:cfRule>
          <xm:sqref>N236</xm:sqref>
        </x14:conditionalFormatting>
        <x14:conditionalFormatting xmlns:xm="http://schemas.microsoft.com/office/excel/2006/main">
          <x14:cfRule type="expression" priority="54" id="{1A287494-E72D-455A-94C7-90BC98021758}">
            <xm:f>Haftungsausschluß!$L$21=0</xm:f>
            <x14:dxf>
              <font>
                <color theme="0"/>
              </font>
              <border>
                <left/>
                <right/>
                <top/>
                <bottom/>
                <vertical/>
                <horizontal/>
              </border>
            </x14:dxf>
          </x14:cfRule>
          <xm:sqref>N236</xm:sqref>
        </x14:conditionalFormatting>
        <x14:conditionalFormatting xmlns:xm="http://schemas.microsoft.com/office/excel/2006/main">
          <x14:cfRule type="expression" priority="53" id="{97456503-D133-4B51-96B6-F2812291F1FF}">
            <xm:f>Haftungsausschluß!$L$21=0</xm:f>
            <x14:dxf>
              <border>
                <left style="thin">
                  <color auto="1"/>
                </left>
                <vertical/>
                <horizontal/>
              </border>
            </x14:dxf>
          </x14:cfRule>
          <xm:sqref>N236</xm:sqref>
        </x14:conditionalFormatting>
        <x14:conditionalFormatting xmlns:xm="http://schemas.microsoft.com/office/excel/2006/main">
          <x14:cfRule type="expression" priority="52" id="{9E74746C-90D1-44D9-8A90-2B8D28A00E79}">
            <xm:f>Haftungsausschluß!$L$21=1</xm:f>
            <x14:dxf>
              <font>
                <color theme="1"/>
              </font>
            </x14:dxf>
          </x14:cfRule>
          <xm:sqref>N235</xm:sqref>
        </x14:conditionalFormatting>
        <x14:conditionalFormatting xmlns:xm="http://schemas.microsoft.com/office/excel/2006/main">
          <x14:cfRule type="expression" priority="51" id="{B68B05A4-68DE-4CEE-8A90-E7693312BCC8}">
            <xm:f>Haftungsausschluß!$L$21=0</xm:f>
            <x14:dxf>
              <font>
                <color theme="0"/>
              </font>
              <border>
                <left/>
                <right/>
                <top/>
                <bottom/>
                <vertical/>
                <horizontal/>
              </border>
            </x14:dxf>
          </x14:cfRule>
          <xm:sqref>N235</xm:sqref>
        </x14:conditionalFormatting>
        <x14:conditionalFormatting xmlns:xm="http://schemas.microsoft.com/office/excel/2006/main">
          <x14:cfRule type="expression" priority="50" id="{74015FC9-93A1-4BFE-8661-91C942E0B7A9}">
            <xm:f>Haftungsausschluß!$L$21=0</xm:f>
            <x14:dxf>
              <border>
                <left style="thin">
                  <color auto="1"/>
                </left>
                <vertical/>
                <horizontal/>
              </border>
            </x14:dxf>
          </x14:cfRule>
          <xm:sqref>N235</xm:sqref>
        </x14:conditionalFormatting>
        <x14:conditionalFormatting xmlns:xm="http://schemas.microsoft.com/office/excel/2006/main">
          <x14:cfRule type="expression" priority="49" id="{45A98D6D-E856-43A7-B0B7-E636DE0C73E3}">
            <xm:f>Haftungsausschluß!$L$21=1</xm:f>
            <x14:dxf>
              <font>
                <color theme="1"/>
              </font>
            </x14:dxf>
          </x14:cfRule>
          <xm:sqref>N234</xm:sqref>
        </x14:conditionalFormatting>
        <x14:conditionalFormatting xmlns:xm="http://schemas.microsoft.com/office/excel/2006/main">
          <x14:cfRule type="expression" priority="48" id="{E1E5D910-3AA8-4488-A99A-1B66932393D9}">
            <xm:f>Haftungsausschluß!$L$21=0</xm:f>
            <x14:dxf>
              <font>
                <color theme="0"/>
              </font>
              <border>
                <left/>
                <right/>
                <top/>
                <bottom/>
                <vertical/>
                <horizontal/>
              </border>
            </x14:dxf>
          </x14:cfRule>
          <xm:sqref>N234</xm:sqref>
        </x14:conditionalFormatting>
        <x14:conditionalFormatting xmlns:xm="http://schemas.microsoft.com/office/excel/2006/main">
          <x14:cfRule type="expression" priority="47" id="{14D1B32B-17B4-4498-893F-24608248549B}">
            <xm:f>Haftungsausschluß!$L$21=0</xm:f>
            <x14:dxf>
              <border>
                <left style="thin">
                  <color auto="1"/>
                </left>
                <vertical/>
                <horizontal/>
              </border>
            </x14:dxf>
          </x14:cfRule>
          <xm:sqref>N234</xm:sqref>
        </x14:conditionalFormatting>
        <x14:conditionalFormatting xmlns:xm="http://schemas.microsoft.com/office/excel/2006/main">
          <x14:cfRule type="expression" priority="46" id="{445B52CD-1D60-4A46-8B13-C9CF976E31C9}">
            <xm:f>Haftungsausschluß!$L$21=1</xm:f>
            <x14:dxf>
              <font>
                <color theme="1"/>
              </font>
            </x14:dxf>
          </x14:cfRule>
          <xm:sqref>N233</xm:sqref>
        </x14:conditionalFormatting>
        <x14:conditionalFormatting xmlns:xm="http://schemas.microsoft.com/office/excel/2006/main">
          <x14:cfRule type="expression" priority="45" id="{24AF3656-8058-4658-9EB1-40E5FA72D484}">
            <xm:f>Haftungsausschluß!$L$21=0</xm:f>
            <x14:dxf>
              <font>
                <color theme="0"/>
              </font>
              <border>
                <left/>
                <right/>
                <top/>
                <bottom/>
                <vertical/>
                <horizontal/>
              </border>
            </x14:dxf>
          </x14:cfRule>
          <xm:sqref>N233</xm:sqref>
        </x14:conditionalFormatting>
        <x14:conditionalFormatting xmlns:xm="http://schemas.microsoft.com/office/excel/2006/main">
          <x14:cfRule type="expression" priority="44" id="{3B089E62-AC70-4560-BBF5-B26ED0DA4E49}">
            <xm:f>Haftungsausschluß!$L$21=0</xm:f>
            <x14:dxf>
              <border>
                <left style="thin">
                  <color auto="1"/>
                </left>
                <vertical/>
                <horizontal/>
              </border>
            </x14:dxf>
          </x14:cfRule>
          <xm:sqref>N233</xm:sqref>
        </x14:conditionalFormatting>
        <x14:conditionalFormatting xmlns:xm="http://schemas.microsoft.com/office/excel/2006/main">
          <x14:cfRule type="expression" priority="43" id="{E2D6EE31-1A77-48BD-93ED-4970B89A6A8A}">
            <xm:f>Haftungsausschluß!$L$21=1</xm:f>
            <x14:dxf>
              <font>
                <color theme="1"/>
              </font>
            </x14:dxf>
          </x14:cfRule>
          <xm:sqref>N249</xm:sqref>
        </x14:conditionalFormatting>
        <x14:conditionalFormatting xmlns:xm="http://schemas.microsoft.com/office/excel/2006/main">
          <x14:cfRule type="expression" priority="42" id="{81810990-CAB0-4C43-8ABA-EFF8938DFD2B}">
            <xm:f>Haftungsausschluß!$L$21=0</xm:f>
            <x14:dxf>
              <font>
                <color theme="0"/>
              </font>
              <border>
                <left/>
                <right/>
                <top/>
                <bottom/>
                <vertical/>
                <horizontal/>
              </border>
            </x14:dxf>
          </x14:cfRule>
          <xm:sqref>N249</xm:sqref>
        </x14:conditionalFormatting>
        <x14:conditionalFormatting xmlns:xm="http://schemas.microsoft.com/office/excel/2006/main">
          <x14:cfRule type="expression" priority="41" id="{C49B7352-03EF-48B0-845F-3C404633C61D}">
            <xm:f>Haftungsausschluß!$L$21=0</xm:f>
            <x14:dxf>
              <border>
                <left style="thin">
                  <color auto="1"/>
                </left>
                <vertical/>
                <horizontal/>
              </border>
            </x14:dxf>
          </x14:cfRule>
          <xm:sqref>N249</xm:sqref>
        </x14:conditionalFormatting>
        <x14:conditionalFormatting xmlns:xm="http://schemas.microsoft.com/office/excel/2006/main">
          <x14:cfRule type="expression" priority="40" id="{A39512C0-FC76-48A4-B23A-8617A87A6728}">
            <xm:f>Haftungsausschluß!$L$21=1</xm:f>
            <x14:dxf>
              <font>
                <color theme="1"/>
              </font>
            </x14:dxf>
          </x14:cfRule>
          <xm:sqref>N248</xm:sqref>
        </x14:conditionalFormatting>
        <x14:conditionalFormatting xmlns:xm="http://schemas.microsoft.com/office/excel/2006/main">
          <x14:cfRule type="expression" priority="39" id="{ECEB6E27-7E55-44B5-AE1A-F912F8449118}">
            <xm:f>Haftungsausschluß!$L$21=0</xm:f>
            <x14:dxf>
              <font>
                <color theme="0"/>
              </font>
              <border>
                <left/>
                <right/>
                <top/>
                <bottom/>
                <vertical/>
                <horizontal/>
              </border>
            </x14:dxf>
          </x14:cfRule>
          <xm:sqref>N248</xm:sqref>
        </x14:conditionalFormatting>
        <x14:conditionalFormatting xmlns:xm="http://schemas.microsoft.com/office/excel/2006/main">
          <x14:cfRule type="expression" priority="38" id="{29E74063-3461-4986-BEEB-0A5ADD6DBEA7}">
            <xm:f>Haftungsausschluß!$L$21=0</xm:f>
            <x14:dxf>
              <border>
                <left style="thin">
                  <color auto="1"/>
                </left>
                <vertical/>
                <horizontal/>
              </border>
            </x14:dxf>
          </x14:cfRule>
          <xm:sqref>N248</xm:sqref>
        </x14:conditionalFormatting>
        <x14:conditionalFormatting xmlns:xm="http://schemas.microsoft.com/office/excel/2006/main">
          <x14:cfRule type="expression" priority="37" id="{F5DFB780-D8E9-4AE7-B4C9-F4C0548E8176}">
            <xm:f>Haftungsausschluß!$L$21=1</xm:f>
            <x14:dxf>
              <font>
                <color theme="1"/>
              </font>
            </x14:dxf>
          </x14:cfRule>
          <xm:sqref>N247</xm:sqref>
        </x14:conditionalFormatting>
        <x14:conditionalFormatting xmlns:xm="http://schemas.microsoft.com/office/excel/2006/main">
          <x14:cfRule type="expression" priority="36" id="{74961203-B34D-4496-847D-11DA24E4F181}">
            <xm:f>Haftungsausschluß!$L$21=0</xm:f>
            <x14:dxf>
              <font>
                <color theme="0"/>
              </font>
              <border>
                <left/>
                <right/>
                <top/>
                <bottom/>
                <vertical/>
                <horizontal/>
              </border>
            </x14:dxf>
          </x14:cfRule>
          <xm:sqref>N247</xm:sqref>
        </x14:conditionalFormatting>
        <x14:conditionalFormatting xmlns:xm="http://schemas.microsoft.com/office/excel/2006/main">
          <x14:cfRule type="expression" priority="35" id="{4ECF660D-DE44-4EAF-9775-D3ABE5A22632}">
            <xm:f>Haftungsausschluß!$L$21=0</xm:f>
            <x14:dxf>
              <border>
                <left style="thin">
                  <color auto="1"/>
                </left>
                <vertical/>
                <horizontal/>
              </border>
            </x14:dxf>
          </x14:cfRule>
          <xm:sqref>N247</xm:sqref>
        </x14:conditionalFormatting>
        <x14:conditionalFormatting xmlns:xm="http://schemas.microsoft.com/office/excel/2006/main">
          <x14:cfRule type="expression" priority="34" id="{5666B287-0C53-4187-8246-EDD9FD295775}">
            <xm:f>Haftungsausschluß!$L$21=1</xm:f>
            <x14:dxf>
              <font>
                <color theme="1"/>
              </font>
            </x14:dxf>
          </x14:cfRule>
          <xm:sqref>N246</xm:sqref>
        </x14:conditionalFormatting>
        <x14:conditionalFormatting xmlns:xm="http://schemas.microsoft.com/office/excel/2006/main">
          <x14:cfRule type="expression" priority="33" id="{5EDEB874-0D1A-4498-809A-24251B92872D}">
            <xm:f>Haftungsausschluß!$L$21=0</xm:f>
            <x14:dxf>
              <font>
                <color theme="0"/>
              </font>
              <border>
                <left/>
                <right/>
                <top/>
                <bottom/>
                <vertical/>
                <horizontal/>
              </border>
            </x14:dxf>
          </x14:cfRule>
          <xm:sqref>N246</xm:sqref>
        </x14:conditionalFormatting>
        <x14:conditionalFormatting xmlns:xm="http://schemas.microsoft.com/office/excel/2006/main">
          <x14:cfRule type="expression" priority="32" id="{0C0C61A3-D521-497B-B5B4-CF67CF88BF58}">
            <xm:f>Haftungsausschluß!$L$21=0</xm:f>
            <x14:dxf>
              <border>
                <left style="thin">
                  <color auto="1"/>
                </left>
                <vertical/>
                <horizontal/>
              </border>
            </x14:dxf>
          </x14:cfRule>
          <xm:sqref>N246</xm:sqref>
        </x14:conditionalFormatting>
        <x14:conditionalFormatting xmlns:xm="http://schemas.microsoft.com/office/excel/2006/main">
          <x14:cfRule type="expression" priority="31" id="{2AACF866-3569-4C53-9840-FFDB15063E8C}">
            <xm:f>Haftungsausschluß!$L$21=1</xm:f>
            <x14:dxf>
              <font>
                <color theme="1"/>
              </font>
            </x14:dxf>
          </x14:cfRule>
          <xm:sqref>O212:O266</xm:sqref>
        </x14:conditionalFormatting>
        <x14:conditionalFormatting xmlns:xm="http://schemas.microsoft.com/office/excel/2006/main">
          <x14:cfRule type="expression" priority="30" id="{CB34ED4B-56C1-45DC-B934-7E1CE20CD797}">
            <xm:f>Haftungsausschluß!$L$21=0</xm:f>
            <x14:dxf>
              <font>
                <color theme="0"/>
              </font>
              <border>
                <left/>
                <right/>
                <top/>
                <bottom/>
                <vertical/>
                <horizontal/>
              </border>
            </x14:dxf>
          </x14:cfRule>
          <xm:sqref>O212:O266</xm:sqref>
        </x14:conditionalFormatting>
        <x14:conditionalFormatting xmlns:xm="http://schemas.microsoft.com/office/excel/2006/main">
          <x14:cfRule type="expression" priority="26" id="{EFC5A9BF-867F-488B-B2AE-2267F9E32A4A}">
            <xm:f>Haftungsausschluß!$L$21=1</xm:f>
            <x14:dxf>
              <font>
                <color theme="1"/>
              </font>
            </x14:dxf>
          </x14:cfRule>
          <xm:sqref>N205:O205</xm:sqref>
        </x14:conditionalFormatting>
        <x14:conditionalFormatting xmlns:xm="http://schemas.microsoft.com/office/excel/2006/main">
          <x14:cfRule type="expression" priority="25" id="{B31B50B6-7B85-4857-BCB1-CF0B9E619BFC}">
            <xm:f>Haftungsausschluß!$L$21=0</xm:f>
            <x14:dxf>
              <font>
                <color theme="0"/>
              </font>
              <border>
                <left/>
                <right/>
                <top/>
                <bottom/>
                <vertical/>
                <horizontal/>
              </border>
            </x14:dxf>
          </x14:cfRule>
          <xm:sqref>N205:O205</xm:sqref>
        </x14:conditionalFormatting>
        <x14:conditionalFormatting xmlns:xm="http://schemas.microsoft.com/office/excel/2006/main">
          <x14:cfRule type="expression" priority="24" id="{22FC4AE9-F956-48D6-89B5-55F7D91D1A05}">
            <xm:f>Haftungsausschluß!$L$21=0</xm:f>
            <x14:dxf>
              <border>
                <left style="thin">
                  <color auto="1"/>
                </left>
                <vertical/>
                <horizontal/>
              </border>
            </x14:dxf>
          </x14:cfRule>
          <xm:sqref>N205</xm:sqref>
        </x14:conditionalFormatting>
        <x14:conditionalFormatting xmlns:xm="http://schemas.microsoft.com/office/excel/2006/main">
          <x14:cfRule type="expression" priority="23" id="{39CCCB63-3F90-4E79-864E-25CB478D3580}">
            <xm:f>Haftungsausschluß!$L$21=1</xm:f>
            <x14:dxf>
              <font>
                <color theme="1"/>
              </font>
            </x14:dxf>
          </x14:cfRule>
          <xm:sqref>N267:O267</xm:sqref>
        </x14:conditionalFormatting>
        <x14:conditionalFormatting xmlns:xm="http://schemas.microsoft.com/office/excel/2006/main">
          <x14:cfRule type="expression" priority="22" id="{0CA38181-43DB-45C5-9C82-DC96C5543560}">
            <xm:f>Haftungsausschluß!$L$21=0</xm:f>
            <x14:dxf>
              <font>
                <color theme="0"/>
              </font>
              <border>
                <left/>
                <right/>
                <top/>
                <bottom/>
                <vertical/>
                <horizontal/>
              </border>
            </x14:dxf>
          </x14:cfRule>
          <xm:sqref>N267:O267</xm:sqref>
        </x14:conditionalFormatting>
        <x14:conditionalFormatting xmlns:xm="http://schemas.microsoft.com/office/excel/2006/main">
          <x14:cfRule type="expression" priority="21" id="{CF8CD80A-762B-4FAA-BA63-070DE7F25F11}">
            <xm:f>Haftungsausschluß!$L$21=0</xm:f>
            <x14:dxf>
              <border>
                <left style="thin">
                  <color auto="1"/>
                </left>
                <vertical/>
                <horizontal/>
              </border>
            </x14:dxf>
          </x14:cfRule>
          <xm:sqref>N267</xm:sqref>
        </x14:conditionalFormatting>
        <x14:conditionalFormatting xmlns:xm="http://schemas.microsoft.com/office/excel/2006/main">
          <x14:cfRule type="expression" priority="12" id="{99D0D13F-71E7-4E3A-881A-4DF2596B5530}">
            <xm:f>Haftungsausschluß!$L$21&lt;&gt;1</xm:f>
            <x14:dxf>
              <font>
                <color theme="0"/>
              </font>
              <fill>
                <patternFill>
                  <bgColor theme="0"/>
                </patternFill>
              </fill>
            </x14:dxf>
          </x14:cfRule>
          <xm:sqref>M268:O274</xm:sqref>
        </x14:conditionalFormatting>
        <x14:conditionalFormatting xmlns:xm="http://schemas.microsoft.com/office/excel/2006/main">
          <x14:cfRule type="expression" priority="11" id="{356CD850-6F31-4BE9-B4E5-196ACE3D8B68}">
            <xm:f>Haftungsausschluß!$L$21&lt;&gt;1</xm:f>
            <x14:dxf>
              <border>
                <top/>
                <vertical/>
                <horizontal/>
              </border>
            </x14:dxf>
          </x14:cfRule>
          <xm:sqref>N268:O268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filterMode="1">
    <pageSetUpPr fitToPage="1"/>
  </sheetPr>
  <dimension ref="A1:AL1781"/>
  <sheetViews>
    <sheetView showGridLines="0" zoomScaleNormal="100" zoomScaleSheetLayoutView="100" workbookViewId="0">
      <selection activeCell="P12" sqref="P12"/>
    </sheetView>
  </sheetViews>
  <sheetFormatPr baseColWidth="10" defaultColWidth="0" defaultRowHeight="14.25" customHeight="1"/>
  <cols>
    <col min="1" max="1" width="8.6640625" style="288" customWidth="1"/>
    <col min="2" max="3" width="9.6640625" style="283" customWidth="1"/>
    <col min="4" max="4" width="10.6640625" style="283" customWidth="1"/>
    <col min="5" max="5" width="11.5546875" style="283" customWidth="1"/>
    <col min="6" max="6" width="13.6640625" style="283" customWidth="1"/>
    <col min="7" max="12" width="12.6640625" style="283" customWidth="1"/>
    <col min="13" max="13" width="12.6640625" style="284" customWidth="1"/>
    <col min="14" max="14" width="16.6640625" style="283" customWidth="1"/>
    <col min="15" max="15" width="14.6640625" style="283" customWidth="1"/>
    <col min="16" max="16" width="15.6640625" style="287" customWidth="1"/>
    <col min="17" max="24" width="8.6640625" style="353" hidden="1" customWidth="1"/>
    <col min="25" max="26" width="8.6640625" style="288" hidden="1" customWidth="1"/>
    <col min="27" max="27" width="22.44140625" style="288" hidden="1" customWidth="1"/>
    <col min="28" max="28" width="14.5546875" style="288" hidden="1" customWidth="1"/>
    <col min="29" max="29" width="8.6640625" style="288" hidden="1" customWidth="1"/>
    <col min="30" max="30" width="22.44140625" style="288" hidden="1" customWidth="1"/>
    <col min="31" max="31" width="14.5546875" style="288" hidden="1" customWidth="1"/>
    <col min="32" max="32" width="8.6640625" style="288" hidden="1" customWidth="1"/>
    <col min="33" max="33" width="22.44140625" style="288" hidden="1" customWidth="1"/>
    <col min="34" max="34" width="14.5546875" style="288" hidden="1" customWidth="1"/>
    <col min="35" max="35" width="8.6640625" style="288" hidden="1" customWidth="1"/>
    <col min="36" max="36" width="22.44140625" style="288" hidden="1" customWidth="1"/>
    <col min="37" max="37" width="14.5546875" style="288" hidden="1" customWidth="1"/>
    <col min="38" max="16384" width="8.6640625" style="288" hidden="1"/>
  </cols>
  <sheetData>
    <row r="1" spans="2:37" ht="5.0999999999999996" customHeight="1">
      <c r="N1" s="285"/>
      <c r="O1" s="286"/>
    </row>
    <row r="2" spans="2:37" ht="5.0999999999999996" customHeight="1">
      <c r="E2" s="289"/>
      <c r="N2" s="285"/>
      <c r="O2" s="286"/>
    </row>
    <row r="3" spans="2:37" ht="17.399999999999999">
      <c r="G3" s="290"/>
      <c r="H3" s="290"/>
      <c r="I3" s="290"/>
      <c r="J3" s="290"/>
      <c r="K3" s="291"/>
      <c r="L3" s="291"/>
      <c r="M3" s="291"/>
      <c r="N3" s="291"/>
      <c r="O3" s="292"/>
    </row>
    <row r="4" spans="2:37" ht="16.8">
      <c r="G4" s="293" t="str">
        <f>VLOOKUP("Service:",Sprachindex!A:Z,Haftungsausschluß!$O$6,FALSE)</f>
        <v>Service:</v>
      </c>
      <c r="H4" s="294" t="str">
        <f>IF('Kalkulation 1'!AO17=1,VLOOKUP("Mengenermittlung/Anfrage",Sprachindex!A:Z,Haftungsausschluß!$O$6,FALSE),VLOOKUP("Bestellung",Sprachindex!A:Z,Haftungsausschluß!$O$6,FALSE))</f>
        <v>Bestellung</v>
      </c>
      <c r="I4" s="290"/>
      <c r="J4" s="290"/>
      <c r="M4" s="291" t="str">
        <f>VLOOKUP("Datum:",Sprachindex!A:Z,Haftungsausschluß!$O$6,FALSE)</f>
        <v>Datum:</v>
      </c>
      <c r="N4" s="975">
        <f ca="1">TODAY()</f>
        <v>44775</v>
      </c>
      <c r="O4" s="976"/>
      <c r="P4" s="670" t="str">
        <f>VLOOKUP("Preis",Sprachindex!A:Z,Haftungsausschluß!$O$6,FALSE)</f>
        <v>Preis</v>
      </c>
      <c r="Q4" s="704">
        <v>1</v>
      </c>
      <c r="R4" s="530" t="s">
        <v>1130</v>
      </c>
    </row>
    <row r="5" spans="2:37" s="296" customFormat="1" ht="16.8">
      <c r="D5" s="561" t="str">
        <f>VLOOKUP("Firma / Besteller:",Sprachindex!A:Z,Haftungsausschluß!$O$6,FALSE)</f>
        <v>Firma / Besteller:</v>
      </c>
      <c r="E5" s="283"/>
      <c r="F5" s="283"/>
      <c r="G5" s="290"/>
      <c r="H5" s="290"/>
      <c r="I5" s="290"/>
      <c r="J5" s="290"/>
      <c r="M5" s="290"/>
      <c r="N5" s="290"/>
      <c r="O5" s="297"/>
      <c r="P5" s="671" t="str">
        <f>VLOOKUP("exkl. MwSt.",Sprachindex!A:Z,Haftungsausschluß!$O$6,FALSE)</f>
        <v>exkl. MwSt.</v>
      </c>
      <c r="Q5" s="704">
        <f>'Kalkulation 1'!AP17</f>
        <v>1</v>
      </c>
      <c r="R5" s="530" t="s">
        <v>333</v>
      </c>
      <c r="S5" s="492"/>
      <c r="T5" s="492"/>
      <c r="U5" s="492"/>
      <c r="V5" s="492"/>
      <c r="W5" s="492"/>
      <c r="X5" s="492"/>
    </row>
    <row r="6" spans="2:37" s="296" customFormat="1" ht="15" customHeight="1">
      <c r="B6" s="283"/>
      <c r="C6" s="299" t="str">
        <f>VLOOKUP("Name:",Sprachindex!A:Z,Haftungsausschluß!$O$6,FALSE)</f>
        <v>Name:</v>
      </c>
      <c r="D6" s="977" t="str">
        <f>'Kalkulation 1'!E5</f>
        <v/>
      </c>
      <c r="E6" s="978"/>
      <c r="F6" s="979"/>
      <c r="G6" s="293" t="str">
        <f>VLOOKUP("Farbe:",Sprachindex!A:Z,Haftungsausschluß!$O$6,FALSE)</f>
        <v>Farbe:</v>
      </c>
      <c r="H6" s="300" t="str">
        <f>IF('Kalkulation 1'!AP17=1,VLOOKUP("blank",Sprachindex!A:Z,Haftungsausschluß!$O$6,FALSE),VLOOKUP("beschichtet",Sprachindex!A:Z,Haftungsausschluß!$O$6,FALSE) &amp; ": " &amp; 'Kalkulation 1'!R9)</f>
        <v>blank</v>
      </c>
      <c r="I6" s="301"/>
      <c r="J6" s="302"/>
      <c r="M6" s="290"/>
      <c r="N6" s="290"/>
      <c r="O6" s="297"/>
      <c r="P6" s="671" t="str">
        <f>VLOOKUP("inkl. MwSt.",Sprachindex!A:Z,Haftungsausschluß!$O$6,FALSE)</f>
        <v>inkl. MwSt.</v>
      </c>
      <c r="Q6" s="717">
        <v>0</v>
      </c>
      <c r="R6" s="530" t="s">
        <v>3958</v>
      </c>
      <c r="S6" s="492"/>
      <c r="T6" s="492"/>
      <c r="U6" s="492"/>
      <c r="V6" s="492"/>
      <c r="W6" s="492"/>
      <c r="X6" s="492"/>
    </row>
    <row r="7" spans="2:37" s="296" customFormat="1" ht="15" customHeight="1">
      <c r="B7" s="283"/>
      <c r="C7" s="299" t="str">
        <f>VLOOKUP("Straße:",Sprachindex!A:Z,Haftungsausschluß!$O$6,FALSE)</f>
        <v>Straße:</v>
      </c>
      <c r="D7" s="977" t="str">
        <f>'Kalkulation 1'!E6</f>
        <v/>
      </c>
      <c r="E7" s="978"/>
      <c r="F7" s="979"/>
      <c r="G7" s="298"/>
      <c r="H7" s="980" t="s">
        <v>4363</v>
      </c>
      <c r="I7" s="980"/>
      <c r="J7" s="980"/>
      <c r="M7" s="299" t="str">
        <f>VLOOKUP("Telefon:",Sprachindex!A:Z,Haftungsausschluß!$O$6,FALSE)</f>
        <v>Telefon:</v>
      </c>
      <c r="N7" s="977" t="str">
        <f>'Kalkulation 1'!E8</f>
        <v/>
      </c>
      <c r="O7" s="978"/>
      <c r="P7" s="287"/>
      <c r="Q7" s="715">
        <f>SUM(O16:O668)</f>
        <v>0</v>
      </c>
      <c r="R7" s="530" t="s">
        <v>3959</v>
      </c>
      <c r="S7" s="492"/>
      <c r="T7" s="492"/>
      <c r="U7" s="492"/>
      <c r="V7" s="492"/>
      <c r="W7" s="492"/>
      <c r="X7" s="492"/>
    </row>
    <row r="8" spans="2:37" s="296" customFormat="1" ht="15" customHeight="1">
      <c r="B8" s="283"/>
      <c r="C8" s="299" t="str">
        <f>VLOOKUP("Ort:",Sprachindex!A:Z,Haftungsausschluß!$O$6,FALSE)</f>
        <v>Ort:</v>
      </c>
      <c r="D8" s="981" t="str">
        <f>'Kalkulation 1'!E7</f>
        <v/>
      </c>
      <c r="E8" s="978"/>
      <c r="F8" s="979"/>
      <c r="G8" s="298"/>
      <c r="H8" s="980"/>
      <c r="I8" s="980"/>
      <c r="J8" s="980"/>
      <c r="M8" s="299" t="str">
        <f>VLOOKUP("eMail:",Sprachindex!A:Z,Haftungsausschluß!$O$6,FALSE)</f>
        <v>eMail:</v>
      </c>
      <c r="N8" s="977" t="str">
        <f>'Kalkulation 1'!E9</f>
        <v/>
      </c>
      <c r="O8" s="978"/>
      <c r="P8" s="303"/>
      <c r="Q8" s="492"/>
      <c r="R8" s="492"/>
      <c r="S8" s="492"/>
      <c r="T8" s="492"/>
      <c r="U8" s="492"/>
      <c r="V8" s="492"/>
      <c r="W8" s="492"/>
      <c r="X8" s="492"/>
    </row>
    <row r="9" spans="2:37" s="296" customFormat="1" ht="15" customHeight="1">
      <c r="B9" s="295"/>
      <c r="C9" s="299"/>
      <c r="D9" s="1007"/>
      <c r="E9" s="1007"/>
      <c r="F9" s="1007"/>
      <c r="G9" s="298"/>
      <c r="H9" s="980"/>
      <c r="I9" s="980"/>
      <c r="J9" s="980"/>
      <c r="K9" s="298"/>
      <c r="L9" s="298"/>
      <c r="M9" s="304"/>
      <c r="N9" s="298"/>
      <c r="O9" s="298"/>
      <c r="P9" s="287"/>
      <c r="Q9" s="492"/>
      <c r="R9" s="492"/>
      <c r="S9" s="492"/>
      <c r="T9" s="492"/>
      <c r="U9" s="492"/>
      <c r="V9" s="492"/>
      <c r="W9" s="492"/>
      <c r="X9" s="492"/>
    </row>
    <row r="10" spans="2:37" s="296" customFormat="1" ht="15" customHeight="1">
      <c r="B10" s="283"/>
      <c r="C10" s="299"/>
      <c r="D10" s="1007"/>
      <c r="E10" s="1007"/>
      <c r="F10" s="1007"/>
      <c r="G10" s="290"/>
      <c r="H10" s="980"/>
      <c r="I10" s="980"/>
      <c r="J10" s="980"/>
      <c r="K10" s="298"/>
      <c r="N10" s="298"/>
      <c r="P10" s="670" t="str">
        <f>IF(Haftungsausschluß!L21=1,VLOOKUP("Rabatt",Sprachindex!A:Z,Haftungsausschluß!$O$6,FALSE),"")</f>
        <v>Rabatt</v>
      </c>
      <c r="Q10" s="492"/>
      <c r="R10" s="492"/>
      <c r="S10" s="492"/>
      <c r="T10" s="492"/>
      <c r="U10" s="492"/>
      <c r="V10" s="492"/>
      <c r="W10" s="492"/>
      <c r="X10" s="492"/>
    </row>
    <row r="11" spans="2:37" s="296" customFormat="1" ht="15" customHeight="1">
      <c r="B11" s="283"/>
      <c r="C11" s="298"/>
      <c r="D11" s="298"/>
      <c r="E11" s="298"/>
      <c r="F11" s="298"/>
      <c r="G11" s="290"/>
      <c r="H11" s="298"/>
      <c r="J11" s="298"/>
      <c r="K11" s="298"/>
      <c r="L11" s="298"/>
      <c r="M11" s="293" t="str">
        <f>VLOOKUP("Bearbeiter:",Sprachindex!A:Z,Haftungsausschluß!$O$6,FALSE)</f>
        <v>Bearbeiter:</v>
      </c>
      <c r="N11" s="283" t="str">
        <f>'Kalkulation 1'!R4</f>
        <v/>
      </c>
      <c r="P11" s="672">
        <f>IF(O268&lt;1000,-10,-14)</f>
        <v>-10</v>
      </c>
      <c r="Q11" s="492"/>
      <c r="R11" s="492"/>
      <c r="S11" s="492"/>
      <c r="T11" s="492"/>
      <c r="U11" s="492"/>
      <c r="V11" s="492"/>
      <c r="W11" s="492"/>
      <c r="X11" s="492"/>
    </row>
    <row r="12" spans="2:37" s="296" customFormat="1" ht="15" customHeight="1">
      <c r="B12" s="283"/>
      <c r="C12" s="298"/>
      <c r="D12" s="298"/>
      <c r="E12" s="298"/>
      <c r="F12" s="298"/>
      <c r="G12" s="290"/>
      <c r="H12" s="298"/>
      <c r="I12" s="298"/>
      <c r="J12" s="298"/>
      <c r="K12" s="298"/>
      <c r="L12" s="298"/>
      <c r="M12" s="298"/>
      <c r="N12" s="298"/>
      <c r="P12" s="673"/>
      <c r="Q12" s="492"/>
      <c r="R12" s="492"/>
      <c r="S12" s="492"/>
      <c r="T12" s="492"/>
      <c r="U12" s="492"/>
      <c r="V12" s="492"/>
      <c r="W12" s="492"/>
      <c r="X12" s="492"/>
    </row>
    <row r="13" spans="2:37" s="296" customFormat="1" ht="15" customHeight="1">
      <c r="B13" s="283"/>
      <c r="C13" s="298"/>
      <c r="D13" s="298"/>
      <c r="E13" s="298"/>
      <c r="F13" s="298"/>
      <c r="G13" s="290"/>
      <c r="H13" s="298"/>
      <c r="I13" s="298"/>
      <c r="J13" s="298"/>
      <c r="K13" s="305"/>
      <c r="M13" s="306"/>
      <c r="N13" s="290"/>
      <c r="O13" s="298"/>
      <c r="P13" s="287"/>
      <c r="Q13" s="492"/>
      <c r="R13" s="492"/>
      <c r="S13" s="492"/>
      <c r="T13" s="492"/>
      <c r="U13" s="492"/>
      <c r="V13" s="492"/>
      <c r="W13" s="492"/>
      <c r="X13" s="492"/>
    </row>
    <row r="14" spans="2:37" ht="15" customHeight="1" thickBot="1">
      <c r="B14" s="307" t="str">
        <f>VLOOKUP("Filter:",Sprachindex!A:Z,Haftungsausschluß!$O$6,FALSE)</f>
        <v>Filter:</v>
      </c>
      <c r="C14" s="1008"/>
      <c r="D14" s="1008"/>
      <c r="E14" s="1008"/>
      <c r="F14" s="1008"/>
      <c r="G14" s="290"/>
      <c r="H14" s="290"/>
      <c r="I14" s="290"/>
      <c r="J14" s="290"/>
      <c r="K14" s="290"/>
      <c r="L14" s="563"/>
      <c r="M14" s="297"/>
      <c r="N14" s="290"/>
      <c r="O14" s="292"/>
    </row>
    <row r="15" spans="2:37" ht="45" customHeight="1" thickBot="1">
      <c r="B15" s="555" t="str">
        <f>VLOOKUP("Stück",Sprachindex!A:Z,Haftungsausschluß!$O$6,FALSE)</f>
        <v>Stück</v>
      </c>
      <c r="C15" s="309" t="str">
        <f>VLOOKUP("Länge",Sprachindex!A:Z,Haftungsausschluß!$O$6,FALSE)</f>
        <v>Länge</v>
      </c>
      <c r="D15" s="309" t="str">
        <f>VLOOKUP("Gesamt Länge",Sprachindex!A:Z,Haftungsausschluß!$O$6,FALSE)</f>
        <v>Gesamt Länge</v>
      </c>
      <c r="E15" s="309" t="str">
        <f>VLOOKUP("Einheit",Sprachindex!A:Z,Haftungsausschluß!$O$6,FALSE)</f>
        <v>Einheit</v>
      </c>
      <c r="F15" s="309" t="str">
        <f>VLOOKUP("Artikel Nr.",Sprachindex!A:Z,Haftungsausschluß!$O$6,FALSE)</f>
        <v>Artikel Nr.</v>
      </c>
      <c r="G15" s="982" t="str">
        <f>VLOOKUP("Bezeichnung",Sprachindex!A:Z,Haftungsausschluß!$O$6,FALSE)</f>
        <v>Bezeichnung</v>
      </c>
      <c r="H15" s="983"/>
      <c r="I15" s="983"/>
      <c r="J15" s="983"/>
      <c r="K15" s="983"/>
      <c r="L15" s="983"/>
      <c r="M15" s="984"/>
      <c r="N15" s="551" t="str">
        <f>VLOOKUP("Preis pro lfm od. Stk",Sprachindex!A:Z,Haftungsausschluß!$O$6,FALSE)</f>
        <v>Preis pro lfm od. Stk</v>
      </c>
      <c r="O15" s="549" t="str">
        <f>VLOOKUP("Preis exkl.MwSt",Sprachindex!A:Z,Haftungsausschluß!$O$6,FALSE)</f>
        <v>Preis exkl.MwSt</v>
      </c>
      <c r="P15" s="286"/>
      <c r="Q15" s="997" t="s">
        <v>2748</v>
      </c>
      <c r="R15" s="997"/>
      <c r="S15" s="997" t="s">
        <v>2747</v>
      </c>
      <c r="T15" s="997"/>
      <c r="U15" s="997" t="s">
        <v>2746</v>
      </c>
      <c r="V15" s="997"/>
      <c r="W15" s="997" t="s">
        <v>2745</v>
      </c>
      <c r="X15" s="997"/>
    </row>
    <row r="16" spans="2:37" ht="30.75" hidden="1" customHeight="1">
      <c r="B16" s="420"/>
      <c r="C16" s="624">
        <v>0</v>
      </c>
      <c r="D16" s="416">
        <f>B16*C16/1000</f>
        <v>0</v>
      </c>
      <c r="E16" s="417" t="str">
        <f>VLOOKUP("[m]",Sprachindex!$A:$Z,Haftungsausschluß!$O$6,FALSE)</f>
        <v>[m]</v>
      </c>
      <c r="F16" s="417" t="str">
        <f>IF($L$14=1,Preisliste!$E$7,Preisliste!$F$7)</f>
        <v>H251000</v>
      </c>
      <c r="G16" s="1001" t="str">
        <f>VLOOKUP("Dammbalken 25/200 exkl. Dichtung, gesägt und entgratet",Sprachindex!$A:$Z,Haftungsausschluß!$O$6,FALSE) &amp; " (" &amp; ROUNDUP(C16/1000*2.99,2) &amp; " " &amp; VLOOKUP("kg/Stk",Sprachindex!$A:$Z,Haftungsausschluß!$O$6,FALSE) &amp; ")" &amp; IF('Kalkulation 1'!$AH$33," " &amp; 'Kalkulation 1'!$R$9,"")</f>
        <v>Dammbalken 25/200 exkl. Dichtung, gesägt und entgratet (0 kg/Stk)</v>
      </c>
      <c r="H16" s="1002"/>
      <c r="I16" s="1002"/>
      <c r="J16" s="1002"/>
      <c r="K16" s="1002"/>
      <c r="L16" s="1002"/>
      <c r="M16" s="1003"/>
      <c r="N16" s="313"/>
      <c r="O16" s="426">
        <f>N16*D16</f>
        <v>0</v>
      </c>
      <c r="P16" s="674"/>
      <c r="Q16" s="516" t="s">
        <v>959</v>
      </c>
      <c r="R16" s="516" t="s">
        <v>1589</v>
      </c>
      <c r="S16" s="516" t="s">
        <v>959</v>
      </c>
      <c r="T16" s="516" t="s">
        <v>1589</v>
      </c>
      <c r="U16" s="516" t="s">
        <v>959</v>
      </c>
      <c r="V16" s="516" t="s">
        <v>1589</v>
      </c>
      <c r="W16" s="516" t="s">
        <v>959</v>
      </c>
      <c r="X16" s="516" t="s">
        <v>1589</v>
      </c>
      <c r="AA16" s="997" t="s">
        <v>2748</v>
      </c>
      <c r="AB16" s="997"/>
      <c r="AD16" s="997" t="s">
        <v>2747</v>
      </c>
      <c r="AE16" s="997"/>
      <c r="AG16" s="997" t="s">
        <v>2746</v>
      </c>
      <c r="AH16" s="997"/>
      <c r="AJ16" s="997" t="s">
        <v>2745</v>
      </c>
      <c r="AK16" s="997"/>
    </row>
    <row r="17" spans="2:38" ht="30.75" hidden="1" customHeight="1">
      <c r="B17" s="420"/>
      <c r="C17" s="312">
        <v>0</v>
      </c>
      <c r="D17" s="317">
        <f>B17*C17/1000</f>
        <v>0</v>
      </c>
      <c r="E17" s="318" t="str">
        <f>VLOOKUP("[m]",Sprachindex!$A:$Z,Haftungsausschluß!$O$6,FALSE)</f>
        <v>[m]</v>
      </c>
      <c r="F17" s="318" t="str">
        <f>IF($L$14=1,Preisliste!$E$7,Preisliste!$F$7)</f>
        <v>H251000</v>
      </c>
      <c r="G17" s="988" t="str">
        <f>VLOOKUP("Dammbalken 25/200 exkl. Dichtung, gesägt und entgratet",Sprachindex!$A:$Z,Haftungsausschluß!$O$6,FALSE) &amp; " (" &amp; ROUNDUP(C17/1000*2.99,2) &amp; " " &amp; VLOOKUP("kg/Stk",Sprachindex!$A:$Z,Haftungsausschluß!$O$6,FALSE) &amp; ")" &amp; IF('Kalkulation 1'!$AH$33," " &amp; 'Kalkulation 1'!$R$9,"")</f>
        <v>Dammbalken 25/200 exkl. Dichtung, gesägt und entgratet (0 kg/Stk)</v>
      </c>
      <c r="H17" s="989"/>
      <c r="I17" s="989"/>
      <c r="J17" s="989"/>
      <c r="K17" s="989"/>
      <c r="L17" s="989"/>
      <c r="M17" s="990"/>
      <c r="N17" s="313"/>
      <c r="O17" s="426">
        <f>N17*D17</f>
        <v>0</v>
      </c>
      <c r="U17" s="353">
        <v>1086</v>
      </c>
      <c r="V17" s="353">
        <v>5</v>
      </c>
      <c r="AA17" s="513" t="s">
        <v>3004</v>
      </c>
      <c r="AB17" t="s">
        <v>3006</v>
      </c>
      <c r="AC17"/>
      <c r="AD17" s="513" t="s">
        <v>3004</v>
      </c>
      <c r="AE17" t="s">
        <v>3006</v>
      </c>
      <c r="AF17"/>
      <c r="AG17" s="513" t="s">
        <v>3004</v>
      </c>
      <c r="AH17" t="s">
        <v>3006</v>
      </c>
      <c r="AI17"/>
      <c r="AJ17" s="513" t="s">
        <v>3004</v>
      </c>
      <c r="AK17" t="s">
        <v>3006</v>
      </c>
      <c r="AL17"/>
    </row>
    <row r="18" spans="2:38" ht="30.75" hidden="1" customHeight="1">
      <c r="B18" s="420"/>
      <c r="C18" s="312">
        <v>0</v>
      </c>
      <c r="D18" s="317">
        <f t="shared" ref="D18:D81" si="0">B18*C18/1000</f>
        <v>0</v>
      </c>
      <c r="E18" s="318" t="str">
        <f>VLOOKUP("[m]",Sprachindex!$A:$Z,Haftungsausschluß!$O$6,FALSE)</f>
        <v>[m]</v>
      </c>
      <c r="F18" s="318" t="str">
        <f>IF($L$14=1,Preisliste!$E$7,Preisliste!$F$7)</f>
        <v>H251000</v>
      </c>
      <c r="G18" s="988" t="str">
        <f>VLOOKUP("Dammbalken 25/200 exkl. Dichtung, gesägt und entgratet",Sprachindex!$A:$Z,Haftungsausschluß!$O$6,FALSE) &amp; " (" &amp; ROUNDUP(C18/1000*2.99,2) &amp; " " &amp; VLOOKUP("kg/Stk",Sprachindex!$A:$Z,Haftungsausschluß!$O$6,FALSE) &amp; ")" &amp; IF('Kalkulation 1'!$AH$33," " &amp; 'Kalkulation 1'!$R$9,"")</f>
        <v>Dammbalken 25/200 exkl. Dichtung, gesägt und entgratet (0 kg/Stk)</v>
      </c>
      <c r="H18" s="989"/>
      <c r="I18" s="989"/>
      <c r="J18" s="989"/>
      <c r="K18" s="989"/>
      <c r="L18" s="989"/>
      <c r="M18" s="990"/>
      <c r="N18" s="313"/>
      <c r="O18" s="426">
        <f t="shared" ref="O18:O81" si="1">N18*D18</f>
        <v>0</v>
      </c>
      <c r="AA18" s="514" t="s">
        <v>3005</v>
      </c>
      <c r="AB18" s="515"/>
      <c r="AC18"/>
      <c r="AD18" s="514" t="s">
        <v>3005</v>
      </c>
      <c r="AE18" s="515"/>
      <c r="AF18"/>
      <c r="AG18" s="514" t="s">
        <v>3005</v>
      </c>
      <c r="AH18" s="515"/>
      <c r="AI18"/>
      <c r="AJ18" s="514" t="s">
        <v>3005</v>
      </c>
      <c r="AK18" s="515"/>
      <c r="AL18"/>
    </row>
    <row r="19" spans="2:38" ht="30.75" hidden="1" customHeight="1">
      <c r="B19" s="420"/>
      <c r="C19" s="312">
        <v>0</v>
      </c>
      <c r="D19" s="317">
        <f t="shared" si="0"/>
        <v>0</v>
      </c>
      <c r="E19" s="318" t="str">
        <f>VLOOKUP("[m]",Sprachindex!$A:$Z,Haftungsausschluß!$O$6,FALSE)</f>
        <v>[m]</v>
      </c>
      <c r="F19" s="318" t="str">
        <f>IF($L$14=1,Preisliste!$E$7,Preisliste!$F$7)</f>
        <v>H251000</v>
      </c>
      <c r="G19" s="988" t="str">
        <f>VLOOKUP("Dammbalken 25/200 exkl. Dichtung, gesägt und entgratet",Sprachindex!$A:$Z,Haftungsausschluß!$O$6,FALSE) &amp; " (" &amp; ROUNDUP(C19/1000*2.99,2) &amp; " " &amp; VLOOKUP("kg/Stk",Sprachindex!$A:$Z,Haftungsausschluß!$O$6,FALSE) &amp; ")" &amp; IF('Kalkulation 1'!$AH$33," " &amp; 'Kalkulation 1'!$R$9,"")</f>
        <v>Dammbalken 25/200 exkl. Dichtung, gesägt und entgratet (0 kg/Stk)</v>
      </c>
      <c r="H19" s="989"/>
      <c r="I19" s="989"/>
      <c r="J19" s="989"/>
      <c r="K19" s="989"/>
      <c r="L19" s="989"/>
      <c r="M19" s="990"/>
      <c r="N19" s="313"/>
      <c r="O19" s="426">
        <f t="shared" si="1"/>
        <v>0</v>
      </c>
      <c r="AA19"/>
      <c r="AB19"/>
      <c r="AC19"/>
      <c r="AD19"/>
      <c r="AE19"/>
      <c r="AF19"/>
      <c r="AG19" s="514">
        <v>1086</v>
      </c>
      <c r="AH19" s="515">
        <v>5</v>
      </c>
      <c r="AI19"/>
      <c r="AJ19"/>
      <c r="AK19"/>
      <c r="AL19"/>
    </row>
    <row r="20" spans="2:38" ht="30.75" hidden="1" customHeight="1">
      <c r="B20" s="420"/>
      <c r="C20" s="312">
        <v>0</v>
      </c>
      <c r="D20" s="317">
        <f t="shared" si="0"/>
        <v>0</v>
      </c>
      <c r="E20" s="318" t="str">
        <f>VLOOKUP("[m]",Sprachindex!$A:$Z,Haftungsausschluß!$O$6,FALSE)</f>
        <v>[m]</v>
      </c>
      <c r="F20" s="318" t="str">
        <f>IF($L$14=1,Preisliste!$E$7,Preisliste!$F$7)</f>
        <v>H251000</v>
      </c>
      <c r="G20" s="988" t="str">
        <f>VLOOKUP("Dammbalken 25/200 exkl. Dichtung, gesägt und entgratet",Sprachindex!$A:$Z,Haftungsausschluß!$O$6,FALSE) &amp; " (" &amp; ROUNDUP(C20/1000*2.99,2) &amp; " " &amp; VLOOKUP("kg/Stk",Sprachindex!$A:$Z,Haftungsausschluß!$O$6,FALSE) &amp; ")" &amp; IF('Kalkulation 1'!$AH$33," " &amp; 'Kalkulation 1'!$R$9,"")</f>
        <v>Dammbalken 25/200 exkl. Dichtung, gesägt und entgratet (0 kg/Stk)</v>
      </c>
      <c r="H20" s="989"/>
      <c r="I20" s="989"/>
      <c r="J20" s="989"/>
      <c r="K20" s="989"/>
      <c r="L20" s="989"/>
      <c r="M20" s="990"/>
      <c r="N20" s="313"/>
      <c r="O20" s="426">
        <f t="shared" si="1"/>
        <v>0</v>
      </c>
      <c r="AA20"/>
      <c r="AB20"/>
      <c r="AC20"/>
      <c r="AD20"/>
      <c r="AE20"/>
      <c r="AF20"/>
      <c r="AG20"/>
      <c r="AH20"/>
      <c r="AI20"/>
      <c r="AJ20"/>
      <c r="AK20"/>
      <c r="AL20"/>
    </row>
    <row r="21" spans="2:38" ht="30.75" hidden="1" customHeight="1">
      <c r="B21" s="420"/>
      <c r="C21" s="312">
        <v>0</v>
      </c>
      <c r="D21" s="317">
        <f t="shared" si="0"/>
        <v>0</v>
      </c>
      <c r="E21" s="318" t="str">
        <f>VLOOKUP("[m]",Sprachindex!$A:$Z,Haftungsausschluß!$O$6,FALSE)</f>
        <v>[m]</v>
      </c>
      <c r="F21" s="318" t="str">
        <f>IF($L$14=1,Preisliste!$E$7,Preisliste!$F$7)</f>
        <v>H251000</v>
      </c>
      <c r="G21" s="988" t="str">
        <f>VLOOKUP("Dammbalken 25/200 exkl. Dichtung, gesägt und entgratet",Sprachindex!$A:$Z,Haftungsausschluß!$O$6,FALSE) &amp; " (" &amp; ROUNDUP(C21/1000*2.99,2) &amp; " " &amp; VLOOKUP("kg/Stk",Sprachindex!$A:$Z,Haftungsausschluß!$O$6,FALSE) &amp; ")" &amp; IF('Kalkulation 1'!$AH$33," " &amp; 'Kalkulation 1'!$R$9,"")</f>
        <v>Dammbalken 25/200 exkl. Dichtung, gesägt und entgratet (0 kg/Stk)</v>
      </c>
      <c r="H21" s="989"/>
      <c r="I21" s="989"/>
      <c r="J21" s="989"/>
      <c r="K21" s="989"/>
      <c r="L21" s="989"/>
      <c r="M21" s="990"/>
      <c r="N21" s="313"/>
      <c r="O21" s="426">
        <f t="shared" si="1"/>
        <v>0</v>
      </c>
      <c r="AA21"/>
      <c r="AB21"/>
      <c r="AC21"/>
      <c r="AD21"/>
      <c r="AE21"/>
      <c r="AF21"/>
      <c r="AG21"/>
      <c r="AH21"/>
      <c r="AI21"/>
      <c r="AJ21"/>
      <c r="AK21"/>
      <c r="AL21"/>
    </row>
    <row r="22" spans="2:38" ht="30.75" hidden="1" customHeight="1">
      <c r="B22" s="420"/>
      <c r="C22" s="312">
        <v>0</v>
      </c>
      <c r="D22" s="317">
        <f t="shared" si="0"/>
        <v>0</v>
      </c>
      <c r="E22" s="318" t="str">
        <f>VLOOKUP("[m]",Sprachindex!$A:$Z,Haftungsausschluß!$O$6,FALSE)</f>
        <v>[m]</v>
      </c>
      <c r="F22" s="318" t="str">
        <f>IF($L$14=1,Preisliste!$E$7,Preisliste!$F$7)</f>
        <v>H251000</v>
      </c>
      <c r="G22" s="988" t="str">
        <f>VLOOKUP("Dammbalken 25/200 exkl. Dichtung, gesägt und entgratet",Sprachindex!$A:$Z,Haftungsausschluß!$O$6,FALSE) &amp; " (" &amp; ROUNDUP(C22/1000*2.99,2) &amp; " " &amp; VLOOKUP("kg/Stk",Sprachindex!$A:$Z,Haftungsausschluß!$O$6,FALSE) &amp; ")" &amp; IF('Kalkulation 1'!$AH$33," " &amp; 'Kalkulation 1'!$R$9,"")</f>
        <v>Dammbalken 25/200 exkl. Dichtung, gesägt und entgratet (0 kg/Stk)</v>
      </c>
      <c r="H22" s="989"/>
      <c r="I22" s="989"/>
      <c r="J22" s="989"/>
      <c r="K22" s="989"/>
      <c r="L22" s="989"/>
      <c r="M22" s="990"/>
      <c r="N22" s="313"/>
      <c r="O22" s="426">
        <f t="shared" si="1"/>
        <v>0</v>
      </c>
      <c r="AA22"/>
      <c r="AB22"/>
      <c r="AC22"/>
      <c r="AD22"/>
      <c r="AE22"/>
      <c r="AF22"/>
      <c r="AG22"/>
      <c r="AH22"/>
      <c r="AI22"/>
      <c r="AJ22"/>
      <c r="AK22"/>
      <c r="AL22"/>
    </row>
    <row r="23" spans="2:38" ht="30.75" hidden="1" customHeight="1">
      <c r="B23" s="420"/>
      <c r="C23" s="312">
        <v>0</v>
      </c>
      <c r="D23" s="317">
        <f t="shared" si="0"/>
        <v>0</v>
      </c>
      <c r="E23" s="318" t="str">
        <f>VLOOKUP("[m]",Sprachindex!$A:$Z,Haftungsausschluß!$O$6,FALSE)</f>
        <v>[m]</v>
      </c>
      <c r="F23" s="318" t="str">
        <f>IF($L$14=1,Preisliste!$E$7,Preisliste!$F$7)</f>
        <v>H251000</v>
      </c>
      <c r="G23" s="988" t="str">
        <f>VLOOKUP("Dammbalken 25/200 exkl. Dichtung, gesägt und entgratet",Sprachindex!$A:$Z,Haftungsausschluß!$O$6,FALSE) &amp; " (" &amp; ROUNDUP(C23/1000*2.99,2) &amp; " " &amp; VLOOKUP("kg/Stk",Sprachindex!$A:$Z,Haftungsausschluß!$O$6,FALSE) &amp; ")" &amp; IF('Kalkulation 1'!$AH$33," " &amp; 'Kalkulation 1'!$R$9,"")</f>
        <v>Dammbalken 25/200 exkl. Dichtung, gesägt und entgratet (0 kg/Stk)</v>
      </c>
      <c r="H23" s="989"/>
      <c r="I23" s="989"/>
      <c r="J23" s="989"/>
      <c r="K23" s="989"/>
      <c r="L23" s="989"/>
      <c r="M23" s="990"/>
      <c r="N23" s="313"/>
      <c r="O23" s="426">
        <f t="shared" si="1"/>
        <v>0</v>
      </c>
      <c r="AA23"/>
      <c r="AB23"/>
      <c r="AC23"/>
      <c r="AD23"/>
      <c r="AE23"/>
      <c r="AF23"/>
      <c r="AG23"/>
      <c r="AH23"/>
      <c r="AI23"/>
      <c r="AJ23"/>
      <c r="AK23"/>
      <c r="AL23"/>
    </row>
    <row r="24" spans="2:38" ht="30.75" hidden="1" customHeight="1">
      <c r="B24" s="420"/>
      <c r="C24" s="312">
        <v>0</v>
      </c>
      <c r="D24" s="317">
        <f t="shared" si="0"/>
        <v>0</v>
      </c>
      <c r="E24" s="318" t="str">
        <f>VLOOKUP("[m]",Sprachindex!$A:$Z,Haftungsausschluß!$O$6,FALSE)</f>
        <v>[m]</v>
      </c>
      <c r="F24" s="318" t="str">
        <f>IF($L$14=1,Preisliste!$E$7,Preisliste!$F$7)</f>
        <v>H251000</v>
      </c>
      <c r="G24" s="988" t="str">
        <f>VLOOKUP("Dammbalken 25/200 exkl. Dichtung, gesägt und entgratet",Sprachindex!$A:$Z,Haftungsausschluß!$O$6,FALSE) &amp; " (" &amp; ROUNDUP(C24/1000*2.99,2) &amp; " " &amp; VLOOKUP("kg/Stk",Sprachindex!$A:$Z,Haftungsausschluß!$O$6,FALSE) &amp; ")" &amp; IF('Kalkulation 1'!$AH$33," " &amp; 'Kalkulation 1'!$R$9,"")</f>
        <v>Dammbalken 25/200 exkl. Dichtung, gesägt und entgratet (0 kg/Stk)</v>
      </c>
      <c r="H24" s="989"/>
      <c r="I24" s="989"/>
      <c r="J24" s="989"/>
      <c r="K24" s="989"/>
      <c r="L24" s="989"/>
      <c r="M24" s="990"/>
      <c r="N24" s="313"/>
      <c r="O24" s="426">
        <f t="shared" si="1"/>
        <v>0</v>
      </c>
      <c r="AA24"/>
      <c r="AB24"/>
      <c r="AC24"/>
      <c r="AD24"/>
      <c r="AE24"/>
      <c r="AF24"/>
      <c r="AG24"/>
      <c r="AH24"/>
      <c r="AI24"/>
      <c r="AJ24"/>
      <c r="AK24"/>
      <c r="AL24"/>
    </row>
    <row r="25" spans="2:38" ht="30.75" hidden="1" customHeight="1">
      <c r="B25" s="420"/>
      <c r="C25" s="312">
        <v>0</v>
      </c>
      <c r="D25" s="317">
        <f t="shared" si="0"/>
        <v>0</v>
      </c>
      <c r="E25" s="318" t="str">
        <f>VLOOKUP("[m]",Sprachindex!$A:$Z,Haftungsausschluß!$O$6,FALSE)</f>
        <v>[m]</v>
      </c>
      <c r="F25" s="318" t="str">
        <f>IF($L$14=1,Preisliste!$E$7,Preisliste!$F$7)</f>
        <v>H251000</v>
      </c>
      <c r="G25" s="988" t="str">
        <f>VLOOKUP("Dammbalken 25/200 exkl. Dichtung, gesägt und entgratet",Sprachindex!$A:$Z,Haftungsausschluß!$O$6,FALSE) &amp; " (" &amp; ROUNDUP(C25/1000*2.99,2) &amp; " " &amp; VLOOKUP("kg/Stk",Sprachindex!$A:$Z,Haftungsausschluß!$O$6,FALSE) &amp; ")" &amp; IF('Kalkulation 1'!$AH$33," " &amp; 'Kalkulation 1'!$R$9,"")</f>
        <v>Dammbalken 25/200 exkl. Dichtung, gesägt und entgratet (0 kg/Stk)</v>
      </c>
      <c r="H25" s="989"/>
      <c r="I25" s="989"/>
      <c r="J25" s="989"/>
      <c r="K25" s="989"/>
      <c r="L25" s="989"/>
      <c r="M25" s="990"/>
      <c r="N25" s="313"/>
      <c r="O25" s="426">
        <f t="shared" si="1"/>
        <v>0</v>
      </c>
      <c r="AA25"/>
      <c r="AB25"/>
      <c r="AC25"/>
      <c r="AD25"/>
      <c r="AE25"/>
      <c r="AF25"/>
      <c r="AG25"/>
      <c r="AH25"/>
      <c r="AI25"/>
      <c r="AJ25"/>
      <c r="AK25"/>
      <c r="AL25"/>
    </row>
    <row r="26" spans="2:38" ht="30.75" hidden="1" customHeight="1">
      <c r="B26" s="420"/>
      <c r="C26" s="312">
        <v>0</v>
      </c>
      <c r="D26" s="317">
        <f t="shared" si="0"/>
        <v>0</v>
      </c>
      <c r="E26" s="318" t="str">
        <f>VLOOKUP("[m]",Sprachindex!$A:$Z,Haftungsausschluß!$O$6,FALSE)</f>
        <v>[m]</v>
      </c>
      <c r="F26" s="318" t="str">
        <f>IF($L$14=1,Preisliste!$E$7,Preisliste!$F$7)</f>
        <v>H251000</v>
      </c>
      <c r="G26" s="988" t="str">
        <f>VLOOKUP("Dammbalken 25/200 exkl. Dichtung, gesägt und entgratet",Sprachindex!$A:$Z,Haftungsausschluß!$O$6,FALSE) &amp; " (" &amp; ROUNDUP(C26/1000*2.99,2) &amp; " " &amp; VLOOKUP("kg/Stk",Sprachindex!$A:$Z,Haftungsausschluß!$O$6,FALSE) &amp; ")" &amp; IF('Kalkulation 1'!$AH$33," " &amp; 'Kalkulation 1'!$R$9,"")</f>
        <v>Dammbalken 25/200 exkl. Dichtung, gesägt und entgratet (0 kg/Stk)</v>
      </c>
      <c r="H26" s="989"/>
      <c r="I26" s="989"/>
      <c r="J26" s="989"/>
      <c r="K26" s="989"/>
      <c r="L26" s="989"/>
      <c r="M26" s="990"/>
      <c r="N26" s="313"/>
      <c r="O26" s="426">
        <f t="shared" si="1"/>
        <v>0</v>
      </c>
      <c r="AA26"/>
      <c r="AB26"/>
      <c r="AC26"/>
      <c r="AD26"/>
      <c r="AE26"/>
      <c r="AF26"/>
      <c r="AG26"/>
      <c r="AH26"/>
      <c r="AI26"/>
      <c r="AJ26"/>
      <c r="AK26"/>
      <c r="AL26"/>
    </row>
    <row r="27" spans="2:38" ht="30.75" hidden="1" customHeight="1">
      <c r="B27" s="420"/>
      <c r="C27" s="312">
        <v>0</v>
      </c>
      <c r="D27" s="317">
        <f t="shared" si="0"/>
        <v>0</v>
      </c>
      <c r="E27" s="318" t="str">
        <f>VLOOKUP("[m]",Sprachindex!$A:$Z,Haftungsausschluß!$O$6,FALSE)</f>
        <v>[m]</v>
      </c>
      <c r="F27" s="318" t="str">
        <f>IF($L$14=1,Preisliste!$E$7,Preisliste!$F$7)</f>
        <v>H251000</v>
      </c>
      <c r="G27" s="988" t="str">
        <f>VLOOKUP("Dammbalken 25/200 exkl. Dichtung, gesägt und entgratet",Sprachindex!$A:$Z,Haftungsausschluß!$O$6,FALSE) &amp; " (" &amp; ROUNDUP(C27/1000*2.99,2) &amp; " " &amp; VLOOKUP("kg/Stk",Sprachindex!$A:$Z,Haftungsausschluß!$O$6,FALSE) &amp; ")" &amp; IF('Kalkulation 1'!$AH$33," " &amp; 'Kalkulation 1'!$R$9,"")</f>
        <v>Dammbalken 25/200 exkl. Dichtung, gesägt und entgratet (0 kg/Stk)</v>
      </c>
      <c r="H27" s="989"/>
      <c r="I27" s="989"/>
      <c r="J27" s="989"/>
      <c r="K27" s="989"/>
      <c r="L27" s="989"/>
      <c r="M27" s="990"/>
      <c r="N27" s="313"/>
      <c r="O27" s="426">
        <f t="shared" si="1"/>
        <v>0</v>
      </c>
      <c r="AA27"/>
      <c r="AB27"/>
      <c r="AC27"/>
      <c r="AD27"/>
      <c r="AE27"/>
      <c r="AF27"/>
      <c r="AG27"/>
      <c r="AH27"/>
      <c r="AI27"/>
      <c r="AJ27"/>
      <c r="AK27"/>
      <c r="AL27"/>
    </row>
    <row r="28" spans="2:38" ht="30.75" hidden="1" customHeight="1">
      <c r="B28" s="420"/>
      <c r="C28" s="312">
        <v>0</v>
      </c>
      <c r="D28" s="317">
        <f t="shared" si="0"/>
        <v>0</v>
      </c>
      <c r="E28" s="318" t="str">
        <f>VLOOKUP("[m]",Sprachindex!$A:$Z,Haftungsausschluß!$O$6,FALSE)</f>
        <v>[m]</v>
      </c>
      <c r="F28" s="318" t="str">
        <f>IF($L$14=1,Preisliste!$E$7,Preisliste!$F$7)</f>
        <v>H251000</v>
      </c>
      <c r="G28" s="988" t="str">
        <f>VLOOKUP("Dammbalken 25/200 exkl. Dichtung, gesägt und entgratet",Sprachindex!$A:$Z,Haftungsausschluß!$O$6,FALSE) &amp; " (" &amp; ROUNDUP(C28/1000*2.99,2) &amp; " " &amp; VLOOKUP("kg/Stk",Sprachindex!$A:$Z,Haftungsausschluß!$O$6,FALSE) &amp; ")" &amp; IF('Kalkulation 1'!$AH$33," " &amp; 'Kalkulation 1'!$R$9,"")</f>
        <v>Dammbalken 25/200 exkl. Dichtung, gesägt und entgratet (0 kg/Stk)</v>
      </c>
      <c r="H28" s="989"/>
      <c r="I28" s="989"/>
      <c r="J28" s="989"/>
      <c r="K28" s="989"/>
      <c r="L28" s="989"/>
      <c r="M28" s="990"/>
      <c r="N28" s="313"/>
      <c r="O28" s="426">
        <f t="shared" si="1"/>
        <v>0</v>
      </c>
      <c r="AA28"/>
      <c r="AB28"/>
      <c r="AC28"/>
      <c r="AD28"/>
      <c r="AE28"/>
      <c r="AF28"/>
      <c r="AG28"/>
      <c r="AH28"/>
      <c r="AI28"/>
      <c r="AJ28"/>
      <c r="AK28"/>
      <c r="AL28"/>
    </row>
    <row r="29" spans="2:38" ht="30.75" hidden="1" customHeight="1">
      <c r="B29" s="420"/>
      <c r="C29" s="312">
        <v>0</v>
      </c>
      <c r="D29" s="317">
        <f t="shared" si="0"/>
        <v>0</v>
      </c>
      <c r="E29" s="318" t="str">
        <f>VLOOKUP("[m]",Sprachindex!$A:$Z,Haftungsausschluß!$O$6,FALSE)</f>
        <v>[m]</v>
      </c>
      <c r="F29" s="318" t="str">
        <f>IF($L$14=1,Preisliste!$E$7,Preisliste!$F$7)</f>
        <v>H251000</v>
      </c>
      <c r="G29" s="988" t="str">
        <f>VLOOKUP("Dammbalken 25/200 exkl. Dichtung, gesägt und entgratet",Sprachindex!$A:$Z,Haftungsausschluß!$O$6,FALSE) &amp; " (" &amp; ROUNDUP(C29/1000*2.99,2) &amp; " " &amp; VLOOKUP("kg/Stk",Sprachindex!$A:$Z,Haftungsausschluß!$O$6,FALSE) &amp; ")" &amp; IF('Kalkulation 1'!$AH$33," " &amp; 'Kalkulation 1'!$R$9,"")</f>
        <v>Dammbalken 25/200 exkl. Dichtung, gesägt und entgratet (0 kg/Stk)</v>
      </c>
      <c r="H29" s="989"/>
      <c r="I29" s="989"/>
      <c r="J29" s="989"/>
      <c r="K29" s="989"/>
      <c r="L29" s="989"/>
      <c r="M29" s="990"/>
      <c r="N29" s="313"/>
      <c r="O29" s="426">
        <f t="shared" si="1"/>
        <v>0</v>
      </c>
      <c r="AA29"/>
      <c r="AB29"/>
      <c r="AC29"/>
      <c r="AD29"/>
      <c r="AE29"/>
      <c r="AF29"/>
      <c r="AG29"/>
      <c r="AH29"/>
      <c r="AI29"/>
      <c r="AJ29"/>
      <c r="AK29"/>
      <c r="AL29"/>
    </row>
    <row r="30" spans="2:38" ht="30.75" hidden="1" customHeight="1">
      <c r="B30" s="420"/>
      <c r="C30" s="312">
        <v>0</v>
      </c>
      <c r="D30" s="317">
        <f t="shared" si="0"/>
        <v>0</v>
      </c>
      <c r="E30" s="318" t="str">
        <f>VLOOKUP("[m]",Sprachindex!$A:$Z,Haftungsausschluß!$O$6,FALSE)</f>
        <v>[m]</v>
      </c>
      <c r="F30" s="318" t="str">
        <f>IF($L$14=1,Preisliste!$E$7,Preisliste!$F$7)</f>
        <v>H251000</v>
      </c>
      <c r="G30" s="988" t="str">
        <f>VLOOKUP("Dammbalken 25/200 exkl. Dichtung, gesägt und entgratet",Sprachindex!$A:$Z,Haftungsausschluß!$O$6,FALSE) &amp; " (" &amp; ROUNDUP(C30/1000*2.99,2) &amp; " " &amp; VLOOKUP("kg/Stk",Sprachindex!$A:$Z,Haftungsausschluß!$O$6,FALSE) &amp; ")" &amp; IF('Kalkulation 1'!$AH$33," " &amp; 'Kalkulation 1'!$R$9,"")</f>
        <v>Dammbalken 25/200 exkl. Dichtung, gesägt und entgratet (0 kg/Stk)</v>
      </c>
      <c r="H30" s="989"/>
      <c r="I30" s="989"/>
      <c r="J30" s="989"/>
      <c r="K30" s="989"/>
      <c r="L30" s="989"/>
      <c r="M30" s="990"/>
      <c r="N30" s="313"/>
      <c r="O30" s="426">
        <f t="shared" si="1"/>
        <v>0</v>
      </c>
      <c r="AA30"/>
      <c r="AB30"/>
      <c r="AC30"/>
      <c r="AD30"/>
      <c r="AE30"/>
      <c r="AF30"/>
      <c r="AG30"/>
      <c r="AH30"/>
      <c r="AI30"/>
      <c r="AJ30"/>
      <c r="AK30"/>
      <c r="AL30"/>
    </row>
    <row r="31" spans="2:38" ht="30.75" hidden="1" customHeight="1">
      <c r="B31" s="420"/>
      <c r="C31" s="312">
        <v>0</v>
      </c>
      <c r="D31" s="317">
        <f t="shared" si="0"/>
        <v>0</v>
      </c>
      <c r="E31" s="318" t="str">
        <f>VLOOKUP("[m]",Sprachindex!$A:$Z,Haftungsausschluß!$O$6,FALSE)</f>
        <v>[m]</v>
      </c>
      <c r="F31" s="318" t="str">
        <f>IF($L$14=1,Preisliste!$E$7,Preisliste!$F$7)</f>
        <v>H251000</v>
      </c>
      <c r="G31" s="988" t="str">
        <f>VLOOKUP("Dammbalken 25/200 exkl. Dichtung, gesägt und entgratet",Sprachindex!$A:$Z,Haftungsausschluß!$O$6,FALSE) &amp; " (" &amp; ROUNDUP(C31/1000*2.99,2) &amp; " " &amp; VLOOKUP("kg/Stk",Sprachindex!$A:$Z,Haftungsausschluß!$O$6,FALSE) &amp; ")" &amp; IF('Kalkulation 1'!$AH$33," " &amp; 'Kalkulation 1'!$R$9,"")</f>
        <v>Dammbalken 25/200 exkl. Dichtung, gesägt und entgratet (0 kg/Stk)</v>
      </c>
      <c r="H31" s="989"/>
      <c r="I31" s="989"/>
      <c r="J31" s="989"/>
      <c r="K31" s="989"/>
      <c r="L31" s="989"/>
      <c r="M31" s="990"/>
      <c r="N31" s="313"/>
      <c r="O31" s="426">
        <f t="shared" si="1"/>
        <v>0</v>
      </c>
      <c r="AA31"/>
      <c r="AB31"/>
      <c r="AC31"/>
      <c r="AD31"/>
      <c r="AE31"/>
      <c r="AF31"/>
      <c r="AG31"/>
      <c r="AH31"/>
      <c r="AI31"/>
      <c r="AJ31"/>
      <c r="AK31"/>
      <c r="AL31"/>
    </row>
    <row r="32" spans="2:38" ht="30.75" hidden="1" customHeight="1">
      <c r="B32" s="420"/>
      <c r="C32" s="312">
        <v>0</v>
      </c>
      <c r="D32" s="317">
        <f t="shared" si="0"/>
        <v>0</v>
      </c>
      <c r="E32" s="318" t="str">
        <f>VLOOKUP("[m]",Sprachindex!$A:$Z,Haftungsausschluß!$O$6,FALSE)</f>
        <v>[m]</v>
      </c>
      <c r="F32" s="318" t="str">
        <f>IF($L$14=1,Preisliste!$E$7,Preisliste!$F$7)</f>
        <v>H251000</v>
      </c>
      <c r="G32" s="988" t="str">
        <f>VLOOKUP("Dammbalken 25/200 exkl. Dichtung, gesägt und entgratet",Sprachindex!$A:$Z,Haftungsausschluß!$O$6,FALSE) &amp; " (" &amp; ROUNDUP(C32/1000*2.99,2) &amp; " " &amp; VLOOKUP("kg/Stk",Sprachindex!$A:$Z,Haftungsausschluß!$O$6,FALSE) &amp; ")" &amp; IF('Kalkulation 1'!$AH$33," " &amp; 'Kalkulation 1'!$R$9,"")</f>
        <v>Dammbalken 25/200 exkl. Dichtung, gesägt und entgratet (0 kg/Stk)</v>
      </c>
      <c r="H32" s="989"/>
      <c r="I32" s="989"/>
      <c r="J32" s="989"/>
      <c r="K32" s="989"/>
      <c r="L32" s="989"/>
      <c r="M32" s="990"/>
      <c r="N32" s="313"/>
      <c r="O32" s="426">
        <f t="shared" si="1"/>
        <v>0</v>
      </c>
      <c r="AA32"/>
      <c r="AB32"/>
      <c r="AC32"/>
      <c r="AD32"/>
      <c r="AE32"/>
      <c r="AF32"/>
      <c r="AG32"/>
      <c r="AH32"/>
      <c r="AI32"/>
      <c r="AJ32"/>
      <c r="AK32"/>
      <c r="AL32"/>
    </row>
    <row r="33" spans="2:38" ht="30.75" hidden="1" customHeight="1">
      <c r="B33" s="420"/>
      <c r="C33" s="312">
        <v>0</v>
      </c>
      <c r="D33" s="317">
        <f t="shared" si="0"/>
        <v>0</v>
      </c>
      <c r="E33" s="318" t="str">
        <f>VLOOKUP("[m]",Sprachindex!$A:$Z,Haftungsausschluß!$O$6,FALSE)</f>
        <v>[m]</v>
      </c>
      <c r="F33" s="318" t="str">
        <f>IF($L$14=1,Preisliste!$E$7,Preisliste!$F$7)</f>
        <v>H251000</v>
      </c>
      <c r="G33" s="988" t="str">
        <f>VLOOKUP("Dammbalken 25/200 exkl. Dichtung, gesägt und entgratet",Sprachindex!$A:$Z,Haftungsausschluß!$O$6,FALSE) &amp; " (" &amp; ROUNDUP(C33/1000*2.99,2) &amp; " " &amp; VLOOKUP("kg/Stk",Sprachindex!$A:$Z,Haftungsausschluß!$O$6,FALSE) &amp; ")" &amp; IF('Kalkulation 1'!$AH$33," " &amp; 'Kalkulation 1'!$R$9,"")</f>
        <v>Dammbalken 25/200 exkl. Dichtung, gesägt und entgratet (0 kg/Stk)</v>
      </c>
      <c r="H33" s="989"/>
      <c r="I33" s="989"/>
      <c r="J33" s="989"/>
      <c r="K33" s="989"/>
      <c r="L33" s="989"/>
      <c r="M33" s="990"/>
      <c r="N33" s="313"/>
      <c r="O33" s="426">
        <f t="shared" si="1"/>
        <v>0</v>
      </c>
      <c r="AA33"/>
      <c r="AB33"/>
      <c r="AC33"/>
      <c r="AD33"/>
      <c r="AE33"/>
      <c r="AF33"/>
      <c r="AG33"/>
      <c r="AH33"/>
      <c r="AI33"/>
      <c r="AJ33"/>
      <c r="AK33"/>
      <c r="AL33"/>
    </row>
    <row r="34" spans="2:38" ht="30.75" hidden="1" customHeight="1">
      <c r="B34" s="420"/>
      <c r="C34" s="312">
        <v>0</v>
      </c>
      <c r="D34" s="317">
        <f t="shared" si="0"/>
        <v>0</v>
      </c>
      <c r="E34" s="318" t="str">
        <f>VLOOKUP("[m]",Sprachindex!$A:$Z,Haftungsausschluß!$O$6,FALSE)</f>
        <v>[m]</v>
      </c>
      <c r="F34" s="318" t="str">
        <f>IF($L$14=1,Preisliste!$E$7,Preisliste!$F$7)</f>
        <v>H251000</v>
      </c>
      <c r="G34" s="988" t="str">
        <f>VLOOKUP("Dammbalken 25/200 exkl. Dichtung, gesägt und entgratet",Sprachindex!$A:$Z,Haftungsausschluß!$O$6,FALSE) &amp; " (" &amp; ROUNDUP(C34/1000*2.99,2) &amp; " " &amp; VLOOKUP("kg/Stk",Sprachindex!$A:$Z,Haftungsausschluß!$O$6,FALSE) &amp; ")" &amp; IF('Kalkulation 1'!$AH$33," " &amp; 'Kalkulation 1'!$R$9,"")</f>
        <v>Dammbalken 25/200 exkl. Dichtung, gesägt und entgratet (0 kg/Stk)</v>
      </c>
      <c r="H34" s="989"/>
      <c r="I34" s="989"/>
      <c r="J34" s="989"/>
      <c r="K34" s="989"/>
      <c r="L34" s="989"/>
      <c r="M34" s="990"/>
      <c r="N34" s="313"/>
      <c r="O34" s="426">
        <f t="shared" si="1"/>
        <v>0</v>
      </c>
      <c r="AA34"/>
      <c r="AB34"/>
      <c r="AC34"/>
      <c r="AD34"/>
      <c r="AE34"/>
      <c r="AF34"/>
      <c r="AG34"/>
      <c r="AH34"/>
      <c r="AI34"/>
      <c r="AJ34"/>
      <c r="AK34"/>
      <c r="AL34"/>
    </row>
    <row r="35" spans="2:38" ht="30.75" hidden="1" customHeight="1">
      <c r="B35" s="420"/>
      <c r="C35" s="312">
        <v>0</v>
      </c>
      <c r="D35" s="317">
        <f t="shared" si="0"/>
        <v>0</v>
      </c>
      <c r="E35" s="318" t="str">
        <f>VLOOKUP("[m]",Sprachindex!$A:$Z,Haftungsausschluß!$O$6,FALSE)</f>
        <v>[m]</v>
      </c>
      <c r="F35" s="318" t="str">
        <f>IF($L$14=1,Preisliste!$E$7,Preisliste!$F$7)</f>
        <v>H251000</v>
      </c>
      <c r="G35" s="988" t="str">
        <f>VLOOKUP("Dammbalken 25/200 exkl. Dichtung, gesägt und entgratet",Sprachindex!$A:$Z,Haftungsausschluß!$O$6,FALSE) &amp; " (" &amp; ROUNDUP(C35/1000*2.99,2) &amp; " " &amp; VLOOKUP("kg/Stk",Sprachindex!$A:$Z,Haftungsausschluß!$O$6,FALSE) &amp; ")" &amp; IF('Kalkulation 1'!$AH$33," " &amp; 'Kalkulation 1'!$R$9,"")</f>
        <v>Dammbalken 25/200 exkl. Dichtung, gesägt und entgratet (0 kg/Stk)</v>
      </c>
      <c r="H35" s="989"/>
      <c r="I35" s="989"/>
      <c r="J35" s="989"/>
      <c r="K35" s="989"/>
      <c r="L35" s="989"/>
      <c r="M35" s="990"/>
      <c r="N35" s="313"/>
      <c r="O35" s="426">
        <f t="shared" si="1"/>
        <v>0</v>
      </c>
    </row>
    <row r="36" spans="2:38" ht="30.75" hidden="1" customHeight="1">
      <c r="B36" s="420"/>
      <c r="C36" s="312">
        <v>2950</v>
      </c>
      <c r="D36" s="317">
        <f t="shared" si="0"/>
        <v>0</v>
      </c>
      <c r="E36" s="318" t="str">
        <f>VLOOKUP("[m]",Sprachindex!$A:$Z,Haftungsausschluß!$O$6,FALSE)</f>
        <v>[m]</v>
      </c>
      <c r="F36" s="318" t="str">
        <f>IF($L$14=1,Preisliste!$E$10,Preisliste!$F$10)</f>
        <v>H501000</v>
      </c>
      <c r="G36" s="988" t="str">
        <f>VLOOKUP("Dammbalken 50/150 exkl. Dichtung, gesägt und entgratet",Sprachindex!$A:$Z,Haftungsausschluß!$O$6,FALSE) &amp; " (" &amp; ROUNDUP(C36/1000*5.62,2) &amp; " " &amp; VLOOKUP("kg/Stk",Sprachindex!$A:$Z,Haftungsausschluß!$O$6,FALSE) &amp; ")" &amp; IF('Kalkulation 1'!$AH$33," " &amp; 'Kalkulation 1'!$R$9,"")</f>
        <v>Dammbalken 50/150 exkl. Dichtung, gesägt und entgratet (16.58 kg/Stk)</v>
      </c>
      <c r="H36" s="989"/>
      <c r="I36" s="989"/>
      <c r="J36" s="989"/>
      <c r="K36" s="989"/>
      <c r="L36" s="989"/>
      <c r="M36" s="990"/>
      <c r="N36" s="313"/>
      <c r="O36" s="426">
        <f t="shared" si="1"/>
        <v>0</v>
      </c>
    </row>
    <row r="37" spans="2:38" ht="30.75" hidden="1" customHeight="1">
      <c r="B37" s="420"/>
      <c r="C37" s="312">
        <v>1950</v>
      </c>
      <c r="D37" s="317">
        <f t="shared" si="0"/>
        <v>0</v>
      </c>
      <c r="E37" s="318" t="str">
        <f>VLOOKUP("[m]",Sprachindex!$A:$Z,Haftungsausschluß!$O$6,FALSE)</f>
        <v>[m]</v>
      </c>
      <c r="F37" s="318" t="str">
        <f>IF($L$14=1,Preisliste!$E$10,Preisliste!$F$10)</f>
        <v>H501000</v>
      </c>
      <c r="G37" s="988" t="str">
        <f>VLOOKUP("Dammbalken 50/150 exkl. Dichtung, gesägt und entgratet",Sprachindex!$A:$Z,Haftungsausschluß!$O$6,FALSE) &amp; " (" &amp; ROUNDUP(C37/1000*5.62,2) &amp; " " &amp; VLOOKUP("kg/Stk",Sprachindex!$A:$Z,Haftungsausschluß!$O$6,FALSE) &amp; ")" &amp; IF('Kalkulation 1'!$AH$33," " &amp; 'Kalkulation 1'!$R$9,"")</f>
        <v>Dammbalken 50/150 exkl. Dichtung, gesägt und entgratet (10.96 kg/Stk)</v>
      </c>
      <c r="H37" s="989"/>
      <c r="I37" s="989"/>
      <c r="J37" s="989"/>
      <c r="K37" s="989"/>
      <c r="L37" s="989"/>
      <c r="M37" s="990"/>
      <c r="N37" s="313"/>
      <c r="O37" s="426">
        <f t="shared" si="1"/>
        <v>0</v>
      </c>
    </row>
    <row r="38" spans="2:38" ht="30.75" hidden="1" customHeight="1">
      <c r="B38" s="420"/>
      <c r="C38" s="312">
        <v>1015</v>
      </c>
      <c r="D38" s="317">
        <f t="shared" si="0"/>
        <v>0</v>
      </c>
      <c r="E38" s="318" t="str">
        <f>VLOOKUP("[m]",Sprachindex!$A:$Z,Haftungsausschluß!$O$6,FALSE)</f>
        <v>[m]</v>
      </c>
      <c r="F38" s="318" t="str">
        <f>IF($L$14=1,Preisliste!$E$10,Preisliste!$F$10)</f>
        <v>H501000</v>
      </c>
      <c r="G38" s="988" t="str">
        <f>VLOOKUP("Dammbalken 50/150 exkl. Dichtung, gesägt und entgratet",Sprachindex!$A:$Z,Haftungsausschluß!$O$6,FALSE) &amp; " (" &amp; ROUNDUP(C38/1000*5.62,2) &amp; " " &amp; VLOOKUP("kg/Stk",Sprachindex!$A:$Z,Haftungsausschluß!$O$6,FALSE) &amp; ")" &amp; IF('Kalkulation 1'!$AH$33," " &amp; 'Kalkulation 1'!$R$9,"")</f>
        <v>Dammbalken 50/150 exkl. Dichtung, gesägt und entgratet (5.71 kg/Stk)</v>
      </c>
      <c r="H38" s="989"/>
      <c r="I38" s="989"/>
      <c r="J38" s="989"/>
      <c r="K38" s="989"/>
      <c r="L38" s="989"/>
      <c r="M38" s="990"/>
      <c r="N38" s="313"/>
      <c r="O38" s="426">
        <f t="shared" si="1"/>
        <v>0</v>
      </c>
    </row>
    <row r="39" spans="2:38" ht="30.75" hidden="1" customHeight="1">
      <c r="B39" s="420"/>
      <c r="C39" s="312">
        <v>376</v>
      </c>
      <c r="D39" s="317">
        <f t="shared" si="0"/>
        <v>0</v>
      </c>
      <c r="E39" s="318" t="str">
        <f>VLOOKUP("[m]",Sprachindex!$A:$Z,Haftungsausschluß!$O$6,FALSE)</f>
        <v>[m]</v>
      </c>
      <c r="F39" s="318" t="str">
        <f>IF($L$14=1,Preisliste!$E$10,Preisliste!$F$10)</f>
        <v>H501000</v>
      </c>
      <c r="G39" s="988" t="str">
        <f>VLOOKUP("Dammbalken 50/150 exkl. Dichtung, gesägt und entgratet",Sprachindex!$A:$Z,Haftungsausschluß!$O$6,FALSE) &amp; " (" &amp; ROUNDUP(C39/1000*5.62,2) &amp; " " &amp; VLOOKUP("kg/Stk",Sprachindex!$A:$Z,Haftungsausschluß!$O$6,FALSE) &amp; ")" &amp; IF('Kalkulation 1'!$AH$33," " &amp; 'Kalkulation 1'!$R$9,"")</f>
        <v>Dammbalken 50/150 exkl. Dichtung, gesägt und entgratet (2.12 kg/Stk)</v>
      </c>
      <c r="H39" s="989"/>
      <c r="I39" s="989"/>
      <c r="J39" s="989"/>
      <c r="K39" s="989"/>
      <c r="L39" s="989"/>
      <c r="M39" s="990"/>
      <c r="N39" s="313"/>
      <c r="O39" s="426">
        <f t="shared" si="1"/>
        <v>0</v>
      </c>
    </row>
    <row r="40" spans="2:38" ht="30.75" hidden="1" customHeight="1">
      <c r="B40" s="420"/>
      <c r="C40" s="312">
        <v>0</v>
      </c>
      <c r="D40" s="317">
        <f t="shared" si="0"/>
        <v>0</v>
      </c>
      <c r="E40" s="318" t="str">
        <f>VLOOKUP("[m]",Sprachindex!$A:$Z,Haftungsausschluß!$O$6,FALSE)</f>
        <v>[m]</v>
      </c>
      <c r="F40" s="318" t="str">
        <f>IF($L$14=1,Preisliste!$E$10,Preisliste!$F$10)</f>
        <v>H501000</v>
      </c>
      <c r="G40" s="988" t="str">
        <f>VLOOKUP("Dammbalken 50/150 exkl. Dichtung, gesägt und entgratet",Sprachindex!$A:$Z,Haftungsausschluß!$O$6,FALSE) &amp; " (" &amp; ROUNDUP(C40/1000*5.62,2) &amp; " " &amp; VLOOKUP("kg/Stk",Sprachindex!$A:$Z,Haftungsausschluß!$O$6,FALSE) &amp; ")" &amp; IF('Kalkulation 1'!$AH$33," " &amp; 'Kalkulation 1'!$R$9,"")</f>
        <v>Dammbalken 50/150 exkl. Dichtung, gesägt und entgratet (0 kg/Stk)</v>
      </c>
      <c r="H40" s="989"/>
      <c r="I40" s="989"/>
      <c r="J40" s="989"/>
      <c r="K40" s="989"/>
      <c r="L40" s="989"/>
      <c r="M40" s="990"/>
      <c r="N40" s="313"/>
      <c r="O40" s="426">
        <f t="shared" si="1"/>
        <v>0</v>
      </c>
    </row>
    <row r="41" spans="2:38" ht="30.75" hidden="1" customHeight="1">
      <c r="B41" s="420"/>
      <c r="C41" s="312">
        <v>0</v>
      </c>
      <c r="D41" s="317">
        <f t="shared" si="0"/>
        <v>0</v>
      </c>
      <c r="E41" s="318" t="str">
        <f>VLOOKUP("[m]",Sprachindex!$A:$Z,Haftungsausschluß!$O$6,FALSE)</f>
        <v>[m]</v>
      </c>
      <c r="F41" s="318" t="str">
        <f>IF($L$14=1,Preisliste!$E$10,Preisliste!$F$10)</f>
        <v>H501000</v>
      </c>
      <c r="G41" s="988" t="str">
        <f>VLOOKUP("Dammbalken 50/150 exkl. Dichtung, gesägt und entgratet",Sprachindex!$A:$Z,Haftungsausschluß!$O$6,FALSE) &amp; " (" &amp; ROUNDUP(C41/1000*5.62,2) &amp; " " &amp; VLOOKUP("kg/Stk",Sprachindex!$A:$Z,Haftungsausschluß!$O$6,FALSE) &amp; ")" &amp; IF('Kalkulation 1'!$AH$33," " &amp; 'Kalkulation 1'!$R$9,"")</f>
        <v>Dammbalken 50/150 exkl. Dichtung, gesägt und entgratet (0 kg/Stk)</v>
      </c>
      <c r="H41" s="989"/>
      <c r="I41" s="989"/>
      <c r="J41" s="989"/>
      <c r="K41" s="989"/>
      <c r="L41" s="989"/>
      <c r="M41" s="990"/>
      <c r="N41" s="313"/>
      <c r="O41" s="426">
        <f t="shared" si="1"/>
        <v>0</v>
      </c>
    </row>
    <row r="42" spans="2:38" ht="30.75" hidden="1" customHeight="1">
      <c r="B42" s="420"/>
      <c r="C42" s="312">
        <v>0</v>
      </c>
      <c r="D42" s="317">
        <f t="shared" si="0"/>
        <v>0</v>
      </c>
      <c r="E42" s="318" t="str">
        <f>VLOOKUP("[m]",Sprachindex!$A:$Z,Haftungsausschluß!$O$6,FALSE)</f>
        <v>[m]</v>
      </c>
      <c r="F42" s="318" t="str">
        <f>IF($L$14=1,Preisliste!$E$10,Preisliste!$F$10)</f>
        <v>H501000</v>
      </c>
      <c r="G42" s="988" t="str">
        <f>VLOOKUP("Dammbalken 50/150 exkl. Dichtung, gesägt und entgratet",Sprachindex!$A:$Z,Haftungsausschluß!$O$6,FALSE) &amp; " (" &amp; ROUNDUP(C42/1000*5.62,2) &amp; " " &amp; VLOOKUP("kg/Stk",Sprachindex!$A:$Z,Haftungsausschluß!$O$6,FALSE) &amp; ")" &amp; IF('Kalkulation 1'!$AH$33," " &amp; 'Kalkulation 1'!$R$9,"")</f>
        <v>Dammbalken 50/150 exkl. Dichtung, gesägt und entgratet (0 kg/Stk)</v>
      </c>
      <c r="H42" s="989"/>
      <c r="I42" s="989"/>
      <c r="J42" s="989"/>
      <c r="K42" s="989"/>
      <c r="L42" s="989"/>
      <c r="M42" s="990"/>
      <c r="N42" s="313"/>
      <c r="O42" s="426">
        <f t="shared" si="1"/>
        <v>0</v>
      </c>
    </row>
    <row r="43" spans="2:38" ht="30.75" hidden="1" customHeight="1">
      <c r="B43" s="420"/>
      <c r="C43" s="312">
        <v>0</v>
      </c>
      <c r="D43" s="317">
        <f t="shared" si="0"/>
        <v>0</v>
      </c>
      <c r="E43" s="318" t="str">
        <f>VLOOKUP("[m]",Sprachindex!$A:$Z,Haftungsausschluß!$O$6,FALSE)</f>
        <v>[m]</v>
      </c>
      <c r="F43" s="318" t="str">
        <f>IF($L$14=1,Preisliste!$E$10,Preisliste!$F$10)</f>
        <v>H501000</v>
      </c>
      <c r="G43" s="988" t="str">
        <f>VLOOKUP("Dammbalken 50/150 exkl. Dichtung, gesägt und entgratet",Sprachindex!$A:$Z,Haftungsausschluß!$O$6,FALSE) &amp; " (" &amp; ROUNDUP(C43/1000*5.62,2) &amp; " " &amp; VLOOKUP("kg/Stk",Sprachindex!$A:$Z,Haftungsausschluß!$O$6,FALSE) &amp; ")" &amp; IF('Kalkulation 1'!$AH$33," " &amp; 'Kalkulation 1'!$R$9,"")</f>
        <v>Dammbalken 50/150 exkl. Dichtung, gesägt und entgratet (0 kg/Stk)</v>
      </c>
      <c r="H43" s="989"/>
      <c r="I43" s="989"/>
      <c r="J43" s="989"/>
      <c r="K43" s="989"/>
      <c r="L43" s="989"/>
      <c r="M43" s="990"/>
      <c r="N43" s="313"/>
      <c r="O43" s="426">
        <f t="shared" si="1"/>
        <v>0</v>
      </c>
    </row>
    <row r="44" spans="2:38" ht="30.75" hidden="1" customHeight="1">
      <c r="B44" s="420"/>
      <c r="C44" s="312">
        <v>0</v>
      </c>
      <c r="D44" s="317">
        <f t="shared" si="0"/>
        <v>0</v>
      </c>
      <c r="E44" s="318" t="str">
        <f>VLOOKUP("[m]",Sprachindex!$A:$Z,Haftungsausschluß!$O$6,FALSE)</f>
        <v>[m]</v>
      </c>
      <c r="F44" s="318" t="str">
        <f>IF($L$14=1,Preisliste!$E$10,Preisliste!$F$10)</f>
        <v>H501000</v>
      </c>
      <c r="G44" s="988" t="str">
        <f>VLOOKUP("Dammbalken 50/150 exkl. Dichtung, gesägt und entgratet",Sprachindex!$A:$Z,Haftungsausschluß!$O$6,FALSE) &amp; " (" &amp; ROUNDUP(C44/1000*5.62,2) &amp; " " &amp; VLOOKUP("kg/Stk",Sprachindex!$A:$Z,Haftungsausschluß!$O$6,FALSE) &amp; ")" &amp; IF('Kalkulation 1'!$AH$33," " &amp; 'Kalkulation 1'!$R$9,"")</f>
        <v>Dammbalken 50/150 exkl. Dichtung, gesägt und entgratet (0 kg/Stk)</v>
      </c>
      <c r="H44" s="989"/>
      <c r="I44" s="989"/>
      <c r="J44" s="989"/>
      <c r="K44" s="989"/>
      <c r="L44" s="989"/>
      <c r="M44" s="990"/>
      <c r="N44" s="313"/>
      <c r="O44" s="426">
        <f t="shared" si="1"/>
        <v>0</v>
      </c>
    </row>
    <row r="45" spans="2:38" ht="30.75" hidden="1" customHeight="1">
      <c r="B45" s="420"/>
      <c r="C45" s="312">
        <v>0</v>
      </c>
      <c r="D45" s="317">
        <f t="shared" si="0"/>
        <v>0</v>
      </c>
      <c r="E45" s="318" t="str">
        <f>VLOOKUP("[m]",Sprachindex!$A:$Z,Haftungsausschluß!$O$6,FALSE)</f>
        <v>[m]</v>
      </c>
      <c r="F45" s="318" t="str">
        <f>IF($L$14=1,Preisliste!$E$10,Preisliste!$F$10)</f>
        <v>H501000</v>
      </c>
      <c r="G45" s="988" t="str">
        <f>VLOOKUP("Dammbalken 50/150 exkl. Dichtung, gesägt und entgratet",Sprachindex!$A:$Z,Haftungsausschluß!$O$6,FALSE) &amp; " (" &amp; ROUNDUP(C45/1000*5.62,2) &amp; " " &amp; VLOOKUP("kg/Stk",Sprachindex!$A:$Z,Haftungsausschluß!$O$6,FALSE) &amp; ")" &amp; IF('Kalkulation 1'!$AH$33," " &amp; 'Kalkulation 1'!$R$9,"")</f>
        <v>Dammbalken 50/150 exkl. Dichtung, gesägt und entgratet (0 kg/Stk)</v>
      </c>
      <c r="H45" s="989"/>
      <c r="I45" s="989"/>
      <c r="J45" s="989"/>
      <c r="K45" s="989"/>
      <c r="L45" s="989"/>
      <c r="M45" s="990"/>
      <c r="N45" s="313"/>
      <c r="O45" s="426">
        <f t="shared" si="1"/>
        <v>0</v>
      </c>
    </row>
    <row r="46" spans="2:38" ht="30.75" hidden="1" customHeight="1">
      <c r="B46" s="420"/>
      <c r="C46" s="312">
        <v>0</v>
      </c>
      <c r="D46" s="317">
        <f t="shared" si="0"/>
        <v>0</v>
      </c>
      <c r="E46" s="318" t="str">
        <f>VLOOKUP("[m]",Sprachindex!$A:$Z,Haftungsausschluß!$O$6,FALSE)</f>
        <v>[m]</v>
      </c>
      <c r="F46" s="318" t="str">
        <f>IF($L$14=1,Preisliste!$E$10,Preisliste!$F$10)</f>
        <v>H501000</v>
      </c>
      <c r="G46" s="988" t="str">
        <f>VLOOKUP("Dammbalken 50/150 exkl. Dichtung, gesägt und entgratet",Sprachindex!$A:$Z,Haftungsausschluß!$O$6,FALSE) &amp; " (" &amp; ROUNDUP(C46/1000*5.62,2) &amp; " " &amp; VLOOKUP("kg/Stk",Sprachindex!$A:$Z,Haftungsausschluß!$O$6,FALSE) &amp; ")" &amp; IF('Kalkulation 1'!$AH$33," " &amp; 'Kalkulation 1'!$R$9,"")</f>
        <v>Dammbalken 50/150 exkl. Dichtung, gesägt und entgratet (0 kg/Stk)</v>
      </c>
      <c r="H46" s="989"/>
      <c r="I46" s="989"/>
      <c r="J46" s="989"/>
      <c r="K46" s="989"/>
      <c r="L46" s="989"/>
      <c r="M46" s="990"/>
      <c r="N46" s="313"/>
      <c r="O46" s="426">
        <f t="shared" si="1"/>
        <v>0</v>
      </c>
    </row>
    <row r="47" spans="2:38" ht="30.75" hidden="1" customHeight="1">
      <c r="B47" s="420"/>
      <c r="C47" s="312">
        <v>0</v>
      </c>
      <c r="D47" s="317">
        <f t="shared" si="0"/>
        <v>0</v>
      </c>
      <c r="E47" s="318" t="str">
        <f>VLOOKUP("[m]",Sprachindex!$A:$Z,Haftungsausschluß!$O$6,FALSE)</f>
        <v>[m]</v>
      </c>
      <c r="F47" s="318" t="str">
        <f>IF($L$14=1,Preisliste!$E$10,Preisliste!$F$10)</f>
        <v>H501000</v>
      </c>
      <c r="G47" s="988" t="str">
        <f>VLOOKUP("Dammbalken 50/150 exkl. Dichtung, gesägt und entgratet",Sprachindex!$A:$Z,Haftungsausschluß!$O$6,FALSE) &amp; " (" &amp; ROUNDUP(C47/1000*5.62,2) &amp; " " &amp; VLOOKUP("kg/Stk",Sprachindex!$A:$Z,Haftungsausschluß!$O$6,FALSE) &amp; ")" &amp; IF('Kalkulation 1'!$AH$33," " &amp; 'Kalkulation 1'!$R$9,"")</f>
        <v>Dammbalken 50/150 exkl. Dichtung, gesägt und entgratet (0 kg/Stk)</v>
      </c>
      <c r="H47" s="989"/>
      <c r="I47" s="989"/>
      <c r="J47" s="989"/>
      <c r="K47" s="989"/>
      <c r="L47" s="989"/>
      <c r="M47" s="990"/>
      <c r="N47" s="313"/>
      <c r="O47" s="426">
        <f t="shared" si="1"/>
        <v>0</v>
      </c>
    </row>
    <row r="48" spans="2:38" ht="30.75" hidden="1" customHeight="1">
      <c r="B48" s="420"/>
      <c r="C48" s="312">
        <v>0</v>
      </c>
      <c r="D48" s="317">
        <f t="shared" si="0"/>
        <v>0</v>
      </c>
      <c r="E48" s="318" t="str">
        <f>VLOOKUP("[m]",Sprachindex!$A:$Z,Haftungsausschluß!$O$6,FALSE)</f>
        <v>[m]</v>
      </c>
      <c r="F48" s="318" t="str">
        <f>IF($L$14=1,Preisliste!$E$10,Preisliste!$F$10)</f>
        <v>H501000</v>
      </c>
      <c r="G48" s="988" t="str">
        <f>VLOOKUP("Dammbalken 50/150 exkl. Dichtung, gesägt und entgratet",Sprachindex!$A:$Z,Haftungsausschluß!$O$6,FALSE) &amp; " (" &amp; ROUNDUP(C48/1000*5.62,2) &amp; " " &amp; VLOOKUP("kg/Stk",Sprachindex!$A:$Z,Haftungsausschluß!$O$6,FALSE) &amp; ")" &amp; IF('Kalkulation 1'!$AH$33," " &amp; 'Kalkulation 1'!$R$9,"")</f>
        <v>Dammbalken 50/150 exkl. Dichtung, gesägt und entgratet (0 kg/Stk)</v>
      </c>
      <c r="H48" s="989"/>
      <c r="I48" s="989"/>
      <c r="J48" s="989"/>
      <c r="K48" s="989"/>
      <c r="L48" s="989"/>
      <c r="M48" s="990"/>
      <c r="N48" s="313"/>
      <c r="O48" s="426">
        <f t="shared" si="1"/>
        <v>0</v>
      </c>
    </row>
    <row r="49" spans="2:15" ht="30.75" hidden="1" customHeight="1">
      <c r="B49" s="420"/>
      <c r="C49" s="312">
        <v>0</v>
      </c>
      <c r="D49" s="317">
        <f t="shared" si="0"/>
        <v>0</v>
      </c>
      <c r="E49" s="318" t="str">
        <f>VLOOKUP("[m]",Sprachindex!$A:$Z,Haftungsausschluß!$O$6,FALSE)</f>
        <v>[m]</v>
      </c>
      <c r="F49" s="318" t="str">
        <f>IF($L$14=1,Preisliste!$E$10,Preisliste!$F$10)</f>
        <v>H501000</v>
      </c>
      <c r="G49" s="988" t="str">
        <f>VLOOKUP("Dammbalken 50/150 exkl. Dichtung, gesägt und entgratet",Sprachindex!$A:$Z,Haftungsausschluß!$O$6,FALSE) &amp; " (" &amp; ROUNDUP(C49/1000*5.62,2) &amp; " " &amp; VLOOKUP("kg/Stk",Sprachindex!$A:$Z,Haftungsausschluß!$O$6,FALSE) &amp; ")" &amp; IF('Kalkulation 1'!$AH$33," " &amp; 'Kalkulation 1'!$R$9,"")</f>
        <v>Dammbalken 50/150 exkl. Dichtung, gesägt und entgratet (0 kg/Stk)</v>
      </c>
      <c r="H49" s="989"/>
      <c r="I49" s="989"/>
      <c r="J49" s="989"/>
      <c r="K49" s="989"/>
      <c r="L49" s="989"/>
      <c r="M49" s="990"/>
      <c r="N49" s="313"/>
      <c r="O49" s="426">
        <f t="shared" si="1"/>
        <v>0</v>
      </c>
    </row>
    <row r="50" spans="2:15" ht="30.75" hidden="1" customHeight="1">
      <c r="B50" s="420"/>
      <c r="C50" s="312">
        <v>0</v>
      </c>
      <c r="D50" s="317">
        <f t="shared" si="0"/>
        <v>0</v>
      </c>
      <c r="E50" s="318" t="str">
        <f>VLOOKUP("[m]",Sprachindex!$A:$Z,Haftungsausschluß!$O$6,FALSE)</f>
        <v>[m]</v>
      </c>
      <c r="F50" s="318" t="str">
        <f>IF($L$14=1,Preisliste!$E$10,Preisliste!$F$10)</f>
        <v>H501000</v>
      </c>
      <c r="G50" s="988" t="str">
        <f>VLOOKUP("Dammbalken 50/150 exkl. Dichtung, gesägt und entgratet",Sprachindex!$A:$Z,Haftungsausschluß!$O$6,FALSE) &amp; " (" &amp; ROUNDUP(C50/1000*5.62,2) &amp; " " &amp; VLOOKUP("kg/Stk",Sprachindex!$A:$Z,Haftungsausschluß!$O$6,FALSE) &amp; ")" &amp; IF('Kalkulation 1'!$AH$33," " &amp; 'Kalkulation 1'!$R$9,"")</f>
        <v>Dammbalken 50/150 exkl. Dichtung, gesägt und entgratet (0 kg/Stk)</v>
      </c>
      <c r="H50" s="989"/>
      <c r="I50" s="989"/>
      <c r="J50" s="989"/>
      <c r="K50" s="989"/>
      <c r="L50" s="989"/>
      <c r="M50" s="990"/>
      <c r="N50" s="313"/>
      <c r="O50" s="426">
        <f t="shared" si="1"/>
        <v>0</v>
      </c>
    </row>
    <row r="51" spans="2:15" ht="30.75" hidden="1" customHeight="1">
      <c r="B51" s="420"/>
      <c r="C51" s="312">
        <v>0</v>
      </c>
      <c r="D51" s="317">
        <f t="shared" si="0"/>
        <v>0</v>
      </c>
      <c r="E51" s="318" t="str">
        <f>VLOOKUP("[m]",Sprachindex!$A:$Z,Haftungsausschluß!$O$6,FALSE)</f>
        <v>[m]</v>
      </c>
      <c r="F51" s="318" t="str">
        <f>IF($L$14=1,Preisliste!$E$10,Preisliste!$F$10)</f>
        <v>H501000</v>
      </c>
      <c r="G51" s="988" t="str">
        <f>VLOOKUP("Dammbalken 50/150 exkl. Dichtung, gesägt und entgratet",Sprachindex!$A:$Z,Haftungsausschluß!$O$6,FALSE) &amp; " (" &amp; ROUNDUP(C51/1000*5.62,2) &amp; " " &amp; VLOOKUP("kg/Stk",Sprachindex!$A:$Z,Haftungsausschluß!$O$6,FALSE) &amp; ")" &amp; IF('Kalkulation 1'!$AH$33," " &amp; 'Kalkulation 1'!$R$9,"")</f>
        <v>Dammbalken 50/150 exkl. Dichtung, gesägt und entgratet (0 kg/Stk)</v>
      </c>
      <c r="H51" s="989"/>
      <c r="I51" s="989"/>
      <c r="J51" s="989"/>
      <c r="K51" s="989"/>
      <c r="L51" s="989"/>
      <c r="M51" s="990"/>
      <c r="N51" s="313"/>
      <c r="O51" s="426">
        <f t="shared" si="1"/>
        <v>0</v>
      </c>
    </row>
    <row r="52" spans="2:15" ht="30.75" hidden="1" customHeight="1">
      <c r="B52" s="420"/>
      <c r="C52" s="312">
        <v>0</v>
      </c>
      <c r="D52" s="317">
        <f t="shared" si="0"/>
        <v>0</v>
      </c>
      <c r="E52" s="318" t="str">
        <f>VLOOKUP("[m]",Sprachindex!$A:$Z,Haftungsausschluß!$O$6,FALSE)</f>
        <v>[m]</v>
      </c>
      <c r="F52" s="318" t="str">
        <f>IF($L$14=1,Preisliste!$E$10,Preisliste!$F$10)</f>
        <v>H501000</v>
      </c>
      <c r="G52" s="988" t="str">
        <f>VLOOKUP("Dammbalken 50/150 exkl. Dichtung, gesägt und entgratet",Sprachindex!$A:$Z,Haftungsausschluß!$O$6,FALSE) &amp; " (" &amp; ROUNDUP(C52/1000*5.62,2) &amp; " " &amp; VLOOKUP("kg/Stk",Sprachindex!$A:$Z,Haftungsausschluß!$O$6,FALSE) &amp; ")" &amp; IF('Kalkulation 1'!$AH$33," " &amp; 'Kalkulation 1'!$R$9,"")</f>
        <v>Dammbalken 50/150 exkl. Dichtung, gesägt und entgratet (0 kg/Stk)</v>
      </c>
      <c r="H52" s="989"/>
      <c r="I52" s="989"/>
      <c r="J52" s="989"/>
      <c r="K52" s="989"/>
      <c r="L52" s="989"/>
      <c r="M52" s="990"/>
      <c r="N52" s="313"/>
      <c r="O52" s="426">
        <f t="shared" si="1"/>
        <v>0</v>
      </c>
    </row>
    <row r="53" spans="2:15" ht="30.75" hidden="1" customHeight="1">
      <c r="B53" s="420"/>
      <c r="C53" s="312">
        <v>0</v>
      </c>
      <c r="D53" s="317">
        <f t="shared" si="0"/>
        <v>0</v>
      </c>
      <c r="E53" s="318" t="str">
        <f>VLOOKUP("[m]",Sprachindex!$A:$Z,Haftungsausschluß!$O$6,FALSE)</f>
        <v>[m]</v>
      </c>
      <c r="F53" s="318" t="str">
        <f>IF($L$14=1,Preisliste!$E$10,Preisliste!$F$10)</f>
        <v>H501000</v>
      </c>
      <c r="G53" s="988" t="str">
        <f>VLOOKUP("Dammbalken 50/150 exkl. Dichtung, gesägt und entgratet",Sprachindex!$A:$Z,Haftungsausschluß!$O$6,FALSE) &amp; " (" &amp; ROUNDUP(C53/1000*5.62,2) &amp; " " &amp; VLOOKUP("kg/Stk",Sprachindex!$A:$Z,Haftungsausschluß!$O$6,FALSE) &amp; ")" &amp; IF('Kalkulation 1'!$AH$33," " &amp; 'Kalkulation 1'!$R$9,"")</f>
        <v>Dammbalken 50/150 exkl. Dichtung, gesägt und entgratet (0 kg/Stk)</v>
      </c>
      <c r="H53" s="989"/>
      <c r="I53" s="989"/>
      <c r="J53" s="989"/>
      <c r="K53" s="989"/>
      <c r="L53" s="989"/>
      <c r="M53" s="990"/>
      <c r="N53" s="313"/>
      <c r="O53" s="426">
        <f t="shared" si="1"/>
        <v>0</v>
      </c>
    </row>
    <row r="54" spans="2:15" ht="30.75" hidden="1" customHeight="1">
      <c r="B54" s="420"/>
      <c r="C54" s="312">
        <v>0</v>
      </c>
      <c r="D54" s="317">
        <f t="shared" si="0"/>
        <v>0</v>
      </c>
      <c r="E54" s="318" t="str">
        <f>VLOOKUP("[m]",Sprachindex!$A:$Z,Haftungsausschluß!$O$6,FALSE)</f>
        <v>[m]</v>
      </c>
      <c r="F54" s="318" t="str">
        <f>IF($L$14=1,Preisliste!$E$10,Preisliste!$F$10)</f>
        <v>H501000</v>
      </c>
      <c r="G54" s="988" t="str">
        <f>VLOOKUP("Dammbalken 50/150 exkl. Dichtung, gesägt und entgratet",Sprachindex!$A:$Z,Haftungsausschluß!$O$6,FALSE) &amp; " (" &amp; ROUNDUP(C54/1000*5.62,2) &amp; " " &amp; VLOOKUP("kg/Stk",Sprachindex!$A:$Z,Haftungsausschluß!$O$6,FALSE) &amp; ")" &amp; IF('Kalkulation 1'!$AH$33," " &amp; 'Kalkulation 1'!$R$9,"")</f>
        <v>Dammbalken 50/150 exkl. Dichtung, gesägt und entgratet (0 kg/Stk)</v>
      </c>
      <c r="H54" s="989"/>
      <c r="I54" s="989"/>
      <c r="J54" s="989"/>
      <c r="K54" s="989"/>
      <c r="L54" s="989"/>
      <c r="M54" s="990"/>
      <c r="N54" s="313"/>
      <c r="O54" s="426">
        <f t="shared" si="1"/>
        <v>0</v>
      </c>
    </row>
    <row r="55" spans="2:15" ht="30.75" hidden="1" customHeight="1">
      <c r="B55" s="420"/>
      <c r="C55" s="312">
        <v>0</v>
      </c>
      <c r="D55" s="317">
        <f t="shared" si="0"/>
        <v>0</v>
      </c>
      <c r="E55" s="318" t="str">
        <f>VLOOKUP("[m]",Sprachindex!$A:$Z,Haftungsausschluß!$O$6,FALSE)</f>
        <v>[m]</v>
      </c>
      <c r="F55" s="318" t="str">
        <f>IF($L$14=1,Preisliste!$E$10,Preisliste!$F$10)</f>
        <v>H501000</v>
      </c>
      <c r="G55" s="988" t="str">
        <f>VLOOKUP("Dammbalken 50/150 exkl. Dichtung, gesägt und entgratet",Sprachindex!$A:$Z,Haftungsausschluß!$O$6,FALSE) &amp; " (" &amp; ROUNDUP(C55/1000*5.62,2) &amp; " " &amp; VLOOKUP("kg/Stk",Sprachindex!$A:$Z,Haftungsausschluß!$O$6,FALSE) &amp; ")" &amp; IF('Kalkulation 1'!$AH$33," " &amp; 'Kalkulation 1'!$R$9,"")</f>
        <v>Dammbalken 50/150 exkl. Dichtung, gesägt und entgratet (0 kg/Stk)</v>
      </c>
      <c r="H55" s="989"/>
      <c r="I55" s="989"/>
      <c r="J55" s="989"/>
      <c r="K55" s="989"/>
      <c r="L55" s="989"/>
      <c r="M55" s="990"/>
      <c r="N55" s="313"/>
      <c r="O55" s="426">
        <f t="shared" si="1"/>
        <v>0</v>
      </c>
    </row>
    <row r="56" spans="2:15" ht="32.1" hidden="1" customHeight="1">
      <c r="B56" s="420"/>
      <c r="C56" s="312">
        <v>0</v>
      </c>
      <c r="D56" s="317">
        <f t="shared" si="0"/>
        <v>0</v>
      </c>
      <c r="E56" s="318" t="str">
        <f>VLOOKUP("[m]",Sprachindex!$A:$Z,Haftungsausschluß!$O$6,FALSE)</f>
        <v>[m]</v>
      </c>
      <c r="F56" s="318" t="str">
        <f>IF($L$14=1,Preisliste!$E$13,Preisliste!$F$13)</f>
        <v>H501001</v>
      </c>
      <c r="G56" s="988" t="str">
        <f>VLOOKUP("Dammbalken 50/200 exkl. Dichtung, gesägt und entgratet",Sprachindex!$A:$Z,Haftungsausschluß!$O$6,FALSE) &amp; " (" &amp; ROUNDUP(C56/1000*4.12,2) &amp; " " &amp; VLOOKUP("kg/Stk",Sprachindex!$A:$Z,Haftungsausschluß!$O$6,FALSE) &amp; ")" &amp; IF('Kalkulation 1'!$AH$33," " &amp; 'Kalkulation 1'!$R$9,"")</f>
        <v>Dammbalken 50/200 exkl. Dichtung, gesägt und entgratet (0 kg/Stk)</v>
      </c>
      <c r="H56" s="989"/>
      <c r="I56" s="989"/>
      <c r="J56" s="989"/>
      <c r="K56" s="989"/>
      <c r="L56" s="989"/>
      <c r="M56" s="990"/>
      <c r="N56" s="313"/>
      <c r="O56" s="426">
        <f t="shared" si="1"/>
        <v>0</v>
      </c>
    </row>
    <row r="57" spans="2:15" ht="32.1" hidden="1" customHeight="1">
      <c r="B57" s="420"/>
      <c r="C57" s="312">
        <v>0</v>
      </c>
      <c r="D57" s="317">
        <f t="shared" si="0"/>
        <v>0</v>
      </c>
      <c r="E57" s="318" t="str">
        <f>VLOOKUP("[m]",Sprachindex!$A:$Z,Haftungsausschluß!$O$6,FALSE)</f>
        <v>[m]</v>
      </c>
      <c r="F57" s="318" t="str">
        <f>IF($L$14=1,Preisliste!$E$13,Preisliste!$F$13)</f>
        <v>H501001</v>
      </c>
      <c r="G57" s="988" t="str">
        <f>VLOOKUP("Dammbalken 50/200 exkl. Dichtung, gesägt und entgratet",Sprachindex!$A:$Z,Haftungsausschluß!$O$6,FALSE) &amp; " (" &amp; ROUNDUP(C57/1000*4.12,2) &amp; " " &amp; VLOOKUP("kg/Stk",Sprachindex!$A:$Z,Haftungsausschluß!$O$6,FALSE) &amp; ")" &amp; IF('Kalkulation 1'!$AH$33," " &amp; 'Kalkulation 1'!$R$9,"")</f>
        <v>Dammbalken 50/200 exkl. Dichtung, gesägt und entgratet (0 kg/Stk)</v>
      </c>
      <c r="H57" s="989"/>
      <c r="I57" s="989"/>
      <c r="J57" s="989"/>
      <c r="K57" s="989"/>
      <c r="L57" s="989"/>
      <c r="M57" s="990"/>
      <c r="N57" s="313"/>
      <c r="O57" s="426">
        <f t="shared" si="1"/>
        <v>0</v>
      </c>
    </row>
    <row r="58" spans="2:15" ht="32.1" hidden="1" customHeight="1">
      <c r="B58" s="420"/>
      <c r="C58" s="312">
        <v>0</v>
      </c>
      <c r="D58" s="317">
        <f t="shared" si="0"/>
        <v>0</v>
      </c>
      <c r="E58" s="318" t="str">
        <f>VLOOKUP("[m]",Sprachindex!$A:$Z,Haftungsausschluß!$O$6,FALSE)</f>
        <v>[m]</v>
      </c>
      <c r="F58" s="318" t="str">
        <f>IF($L$14=1,Preisliste!$E$13,Preisliste!$F$13)</f>
        <v>H501001</v>
      </c>
      <c r="G58" s="988" t="str">
        <f>VLOOKUP("Dammbalken 50/200 exkl. Dichtung, gesägt und entgratet",Sprachindex!$A:$Z,Haftungsausschluß!$O$6,FALSE) &amp; " (" &amp; ROUNDUP(C58/1000*4.12,2) &amp; " " &amp; VLOOKUP("kg/Stk",Sprachindex!$A:$Z,Haftungsausschluß!$O$6,FALSE) &amp; ")" &amp; IF('Kalkulation 1'!$AH$33," " &amp; 'Kalkulation 1'!$R$9,"")</f>
        <v>Dammbalken 50/200 exkl. Dichtung, gesägt und entgratet (0 kg/Stk)</v>
      </c>
      <c r="H58" s="989"/>
      <c r="I58" s="989"/>
      <c r="J58" s="989"/>
      <c r="K58" s="989"/>
      <c r="L58" s="989"/>
      <c r="M58" s="990"/>
      <c r="N58" s="313"/>
      <c r="O58" s="426">
        <f t="shared" si="1"/>
        <v>0</v>
      </c>
    </row>
    <row r="59" spans="2:15" ht="32.1" hidden="1" customHeight="1">
      <c r="B59" s="420"/>
      <c r="C59" s="312">
        <v>0</v>
      </c>
      <c r="D59" s="317">
        <f t="shared" si="0"/>
        <v>0</v>
      </c>
      <c r="E59" s="318" t="str">
        <f>VLOOKUP("[m]",Sprachindex!$A:$Z,Haftungsausschluß!$O$6,FALSE)</f>
        <v>[m]</v>
      </c>
      <c r="F59" s="318" t="str">
        <f>IF($L$14=1,Preisliste!$E$13,Preisliste!$F$13)</f>
        <v>H501001</v>
      </c>
      <c r="G59" s="988" t="str">
        <f>VLOOKUP("Dammbalken 50/200 exkl. Dichtung, gesägt und entgratet",Sprachindex!$A:$Z,Haftungsausschluß!$O$6,FALSE) &amp; " (" &amp; ROUNDUP(C59/1000*4.12,2) &amp; " " &amp; VLOOKUP("kg/Stk",Sprachindex!$A:$Z,Haftungsausschluß!$O$6,FALSE) &amp; ")" &amp; IF('Kalkulation 1'!$AH$33," " &amp; 'Kalkulation 1'!$R$9,"")</f>
        <v>Dammbalken 50/200 exkl. Dichtung, gesägt und entgratet (0 kg/Stk)</v>
      </c>
      <c r="H59" s="989"/>
      <c r="I59" s="989"/>
      <c r="J59" s="989"/>
      <c r="K59" s="989"/>
      <c r="L59" s="989"/>
      <c r="M59" s="990"/>
      <c r="N59" s="313"/>
      <c r="O59" s="426">
        <f t="shared" si="1"/>
        <v>0</v>
      </c>
    </row>
    <row r="60" spans="2:15" ht="32.1" hidden="1" customHeight="1">
      <c r="B60" s="420"/>
      <c r="C60" s="312">
        <v>0</v>
      </c>
      <c r="D60" s="317">
        <f t="shared" si="0"/>
        <v>0</v>
      </c>
      <c r="E60" s="318" t="str">
        <f>VLOOKUP("[m]",Sprachindex!$A:$Z,Haftungsausschluß!$O$6,FALSE)</f>
        <v>[m]</v>
      </c>
      <c r="F60" s="318" t="str">
        <f>IF($L$14=1,Preisliste!$E$13,Preisliste!$F$13)</f>
        <v>H501001</v>
      </c>
      <c r="G60" s="988" t="str">
        <f>VLOOKUP("Dammbalken 50/200 exkl. Dichtung, gesägt und entgratet",Sprachindex!$A:$Z,Haftungsausschluß!$O$6,FALSE) &amp; " (" &amp; ROUNDUP(C60/1000*4.12,2) &amp; " " &amp; VLOOKUP("kg/Stk",Sprachindex!$A:$Z,Haftungsausschluß!$O$6,FALSE) &amp; ")" &amp; IF('Kalkulation 1'!$AH$33," " &amp; 'Kalkulation 1'!$R$9,"")</f>
        <v>Dammbalken 50/200 exkl. Dichtung, gesägt und entgratet (0 kg/Stk)</v>
      </c>
      <c r="H60" s="989"/>
      <c r="I60" s="989"/>
      <c r="J60" s="989"/>
      <c r="K60" s="989"/>
      <c r="L60" s="989"/>
      <c r="M60" s="990"/>
      <c r="N60" s="313"/>
      <c r="O60" s="426">
        <f t="shared" si="1"/>
        <v>0</v>
      </c>
    </row>
    <row r="61" spans="2:15" ht="32.1" hidden="1" customHeight="1">
      <c r="B61" s="420"/>
      <c r="C61" s="312">
        <v>0</v>
      </c>
      <c r="D61" s="317">
        <f t="shared" si="0"/>
        <v>0</v>
      </c>
      <c r="E61" s="318" t="str">
        <f>VLOOKUP("[m]",Sprachindex!$A:$Z,Haftungsausschluß!$O$6,FALSE)</f>
        <v>[m]</v>
      </c>
      <c r="F61" s="318" t="str">
        <f>IF($L$14=1,Preisliste!$E$13,Preisliste!$F$13)</f>
        <v>H501001</v>
      </c>
      <c r="G61" s="988" t="str">
        <f>VLOOKUP("Dammbalken 50/200 exkl. Dichtung, gesägt und entgratet",Sprachindex!$A:$Z,Haftungsausschluß!$O$6,FALSE) &amp; " (" &amp; ROUNDUP(C61/1000*4.12,2) &amp; " " &amp; VLOOKUP("kg/Stk",Sprachindex!$A:$Z,Haftungsausschluß!$O$6,FALSE) &amp; ")" &amp; IF('Kalkulation 1'!$AH$33," " &amp; 'Kalkulation 1'!$R$9,"")</f>
        <v>Dammbalken 50/200 exkl. Dichtung, gesägt und entgratet (0 kg/Stk)</v>
      </c>
      <c r="H61" s="989"/>
      <c r="I61" s="989"/>
      <c r="J61" s="989"/>
      <c r="K61" s="989"/>
      <c r="L61" s="989"/>
      <c r="M61" s="990"/>
      <c r="N61" s="313"/>
      <c r="O61" s="426">
        <f t="shared" si="1"/>
        <v>0</v>
      </c>
    </row>
    <row r="62" spans="2:15" ht="32.1" hidden="1" customHeight="1">
      <c r="B62" s="420"/>
      <c r="C62" s="312">
        <v>0</v>
      </c>
      <c r="D62" s="317">
        <f t="shared" si="0"/>
        <v>0</v>
      </c>
      <c r="E62" s="318" t="str">
        <f>VLOOKUP("[m]",Sprachindex!$A:$Z,Haftungsausschluß!$O$6,FALSE)</f>
        <v>[m]</v>
      </c>
      <c r="F62" s="318" t="str">
        <f>IF($L$14=1,Preisliste!$E$13,Preisliste!$F$13)</f>
        <v>H501001</v>
      </c>
      <c r="G62" s="988" t="str">
        <f>VLOOKUP("Dammbalken 50/200 exkl. Dichtung, gesägt und entgratet",Sprachindex!$A:$Z,Haftungsausschluß!$O$6,FALSE) &amp; " (" &amp; ROUNDUP(C62/1000*4.12,2) &amp; " " &amp; VLOOKUP("kg/Stk",Sprachindex!$A:$Z,Haftungsausschluß!$O$6,FALSE) &amp; ")" &amp; IF('Kalkulation 1'!$AH$33," " &amp; 'Kalkulation 1'!$R$9,"")</f>
        <v>Dammbalken 50/200 exkl. Dichtung, gesägt und entgratet (0 kg/Stk)</v>
      </c>
      <c r="H62" s="989"/>
      <c r="I62" s="989"/>
      <c r="J62" s="989"/>
      <c r="K62" s="989"/>
      <c r="L62" s="989"/>
      <c r="M62" s="990"/>
      <c r="N62" s="313"/>
      <c r="O62" s="426">
        <f t="shared" si="1"/>
        <v>0</v>
      </c>
    </row>
    <row r="63" spans="2:15" ht="32.1" hidden="1" customHeight="1">
      <c r="B63" s="420"/>
      <c r="C63" s="312">
        <v>0</v>
      </c>
      <c r="D63" s="317">
        <f t="shared" si="0"/>
        <v>0</v>
      </c>
      <c r="E63" s="318" t="str">
        <f>VLOOKUP("[m]",Sprachindex!$A:$Z,Haftungsausschluß!$O$6,FALSE)</f>
        <v>[m]</v>
      </c>
      <c r="F63" s="318" t="str">
        <f>IF($L$14=1,Preisliste!$E$13,Preisliste!$F$13)</f>
        <v>H501001</v>
      </c>
      <c r="G63" s="988" t="str">
        <f>VLOOKUP("Dammbalken 50/200 exkl. Dichtung, gesägt und entgratet",Sprachindex!$A:$Z,Haftungsausschluß!$O$6,FALSE) &amp; " (" &amp; ROUNDUP(C63/1000*4.12,2) &amp; " " &amp; VLOOKUP("kg/Stk",Sprachindex!$A:$Z,Haftungsausschluß!$O$6,FALSE) &amp; ")" &amp; IF('Kalkulation 1'!$AH$33," " &amp; 'Kalkulation 1'!$R$9,"")</f>
        <v>Dammbalken 50/200 exkl. Dichtung, gesägt und entgratet (0 kg/Stk)</v>
      </c>
      <c r="H63" s="989"/>
      <c r="I63" s="989"/>
      <c r="J63" s="989"/>
      <c r="K63" s="989"/>
      <c r="L63" s="989"/>
      <c r="M63" s="990"/>
      <c r="N63" s="313"/>
      <c r="O63" s="426">
        <f t="shared" si="1"/>
        <v>0</v>
      </c>
    </row>
    <row r="64" spans="2:15" ht="32.1" hidden="1" customHeight="1">
      <c r="B64" s="420"/>
      <c r="C64" s="312">
        <v>0</v>
      </c>
      <c r="D64" s="317">
        <f t="shared" si="0"/>
        <v>0</v>
      </c>
      <c r="E64" s="318" t="str">
        <f>VLOOKUP("[m]",Sprachindex!$A:$Z,Haftungsausschluß!$O$6,FALSE)</f>
        <v>[m]</v>
      </c>
      <c r="F64" s="318" t="str">
        <f>IF($L$14=1,Preisliste!$E$13,Preisliste!$F$13)</f>
        <v>H501001</v>
      </c>
      <c r="G64" s="988" t="str">
        <f>VLOOKUP("Dammbalken 50/200 exkl. Dichtung, gesägt und entgratet",Sprachindex!$A:$Z,Haftungsausschluß!$O$6,FALSE) &amp; " (" &amp; ROUNDUP(C64/1000*4.12,2) &amp; " " &amp; VLOOKUP("kg/Stk",Sprachindex!$A:$Z,Haftungsausschluß!$O$6,FALSE) &amp; ")" &amp; IF('Kalkulation 1'!$AH$33," " &amp; 'Kalkulation 1'!$R$9,"")</f>
        <v>Dammbalken 50/200 exkl. Dichtung, gesägt und entgratet (0 kg/Stk)</v>
      </c>
      <c r="H64" s="989"/>
      <c r="I64" s="989"/>
      <c r="J64" s="989"/>
      <c r="K64" s="989"/>
      <c r="L64" s="989"/>
      <c r="M64" s="990"/>
      <c r="N64" s="313"/>
      <c r="O64" s="426">
        <f t="shared" si="1"/>
        <v>0</v>
      </c>
    </row>
    <row r="65" spans="2:15" ht="32.1" hidden="1" customHeight="1">
      <c r="B65" s="420"/>
      <c r="C65" s="312">
        <v>0</v>
      </c>
      <c r="D65" s="317">
        <f t="shared" si="0"/>
        <v>0</v>
      </c>
      <c r="E65" s="318" t="str">
        <f>VLOOKUP("[m]",Sprachindex!$A:$Z,Haftungsausschluß!$O$6,FALSE)</f>
        <v>[m]</v>
      </c>
      <c r="F65" s="318" t="str">
        <f>IF($L$14=1,Preisliste!$E$13,Preisliste!$F$13)</f>
        <v>H501001</v>
      </c>
      <c r="G65" s="988" t="str">
        <f>VLOOKUP("Dammbalken 50/200 exkl. Dichtung, gesägt und entgratet",Sprachindex!$A:$Z,Haftungsausschluß!$O$6,FALSE) &amp; " (" &amp; ROUNDUP(C65/1000*4.12,2) &amp; " " &amp; VLOOKUP("kg/Stk",Sprachindex!$A:$Z,Haftungsausschluß!$O$6,FALSE) &amp; ")" &amp; IF('Kalkulation 1'!$AH$33," " &amp; 'Kalkulation 1'!$R$9,"")</f>
        <v>Dammbalken 50/200 exkl. Dichtung, gesägt und entgratet (0 kg/Stk)</v>
      </c>
      <c r="H65" s="989"/>
      <c r="I65" s="989"/>
      <c r="J65" s="989"/>
      <c r="K65" s="989"/>
      <c r="L65" s="989"/>
      <c r="M65" s="990"/>
      <c r="N65" s="313"/>
      <c r="O65" s="426">
        <f t="shared" si="1"/>
        <v>0</v>
      </c>
    </row>
    <row r="66" spans="2:15" ht="32.1" hidden="1" customHeight="1">
      <c r="B66" s="420"/>
      <c r="C66" s="312">
        <v>0</v>
      </c>
      <c r="D66" s="317">
        <f t="shared" si="0"/>
        <v>0</v>
      </c>
      <c r="E66" s="318" t="str">
        <f>VLOOKUP("[m]",Sprachindex!$A:$Z,Haftungsausschluß!$O$6,FALSE)</f>
        <v>[m]</v>
      </c>
      <c r="F66" s="318" t="str">
        <f>IF($L$14=1,Preisliste!$E$13,Preisliste!$F$13)</f>
        <v>H501001</v>
      </c>
      <c r="G66" s="988" t="str">
        <f>VLOOKUP("Dammbalken 50/200 exkl. Dichtung, gesägt und entgratet",Sprachindex!$A:$Z,Haftungsausschluß!$O$6,FALSE) &amp; " (" &amp; ROUNDUP(C66/1000*4.12,2) &amp; " " &amp; VLOOKUP("kg/Stk",Sprachindex!$A:$Z,Haftungsausschluß!$O$6,FALSE) &amp; ")" &amp; IF('Kalkulation 1'!$AH$33," " &amp; 'Kalkulation 1'!$R$9,"")</f>
        <v>Dammbalken 50/200 exkl. Dichtung, gesägt und entgratet (0 kg/Stk)</v>
      </c>
      <c r="H66" s="989"/>
      <c r="I66" s="989"/>
      <c r="J66" s="989"/>
      <c r="K66" s="989"/>
      <c r="L66" s="989"/>
      <c r="M66" s="990"/>
      <c r="N66" s="313"/>
      <c r="O66" s="426">
        <f t="shared" si="1"/>
        <v>0</v>
      </c>
    </row>
    <row r="67" spans="2:15" ht="32.1" hidden="1" customHeight="1">
      <c r="B67" s="420"/>
      <c r="C67" s="312">
        <v>0</v>
      </c>
      <c r="D67" s="317">
        <f t="shared" si="0"/>
        <v>0</v>
      </c>
      <c r="E67" s="318" t="str">
        <f>VLOOKUP("[m]",Sprachindex!$A:$Z,Haftungsausschluß!$O$6,FALSE)</f>
        <v>[m]</v>
      </c>
      <c r="F67" s="318" t="str">
        <f>IF($L$14=1,Preisliste!$E$13,Preisliste!$F$13)</f>
        <v>H501001</v>
      </c>
      <c r="G67" s="988" t="str">
        <f>VLOOKUP("Dammbalken 50/200 exkl. Dichtung, gesägt und entgratet",Sprachindex!$A:$Z,Haftungsausschluß!$O$6,FALSE) &amp; " (" &amp; ROUNDUP(C67/1000*4.12,2) &amp; " " &amp; VLOOKUP("kg/Stk",Sprachindex!$A:$Z,Haftungsausschluß!$O$6,FALSE) &amp; ")" &amp; IF('Kalkulation 1'!$AH$33," " &amp; 'Kalkulation 1'!$R$9,"")</f>
        <v>Dammbalken 50/200 exkl. Dichtung, gesägt und entgratet (0 kg/Stk)</v>
      </c>
      <c r="H67" s="989"/>
      <c r="I67" s="989"/>
      <c r="J67" s="989"/>
      <c r="K67" s="989"/>
      <c r="L67" s="989"/>
      <c r="M67" s="990"/>
      <c r="N67" s="313"/>
      <c r="O67" s="426">
        <f t="shared" si="1"/>
        <v>0</v>
      </c>
    </row>
    <row r="68" spans="2:15" ht="32.1" hidden="1" customHeight="1">
      <c r="B68" s="420"/>
      <c r="C68" s="312">
        <v>0</v>
      </c>
      <c r="D68" s="317">
        <f t="shared" si="0"/>
        <v>0</v>
      </c>
      <c r="E68" s="318" t="str">
        <f>VLOOKUP("[m]",Sprachindex!$A:$Z,Haftungsausschluß!$O$6,FALSE)</f>
        <v>[m]</v>
      </c>
      <c r="F68" s="318" t="str">
        <f>IF($L$14=1,Preisliste!$E$13,Preisliste!$F$13)</f>
        <v>H501001</v>
      </c>
      <c r="G68" s="988" t="str">
        <f>VLOOKUP("Dammbalken 50/200 exkl. Dichtung, gesägt und entgratet",Sprachindex!$A:$Z,Haftungsausschluß!$O$6,FALSE) &amp; " (" &amp; ROUNDUP(C68/1000*4.12,2) &amp; " " &amp; VLOOKUP("kg/Stk",Sprachindex!$A:$Z,Haftungsausschluß!$O$6,FALSE) &amp; ")" &amp; IF('Kalkulation 1'!$AH$33," " &amp; 'Kalkulation 1'!$R$9,"")</f>
        <v>Dammbalken 50/200 exkl. Dichtung, gesägt und entgratet (0 kg/Stk)</v>
      </c>
      <c r="H68" s="989"/>
      <c r="I68" s="989"/>
      <c r="J68" s="989"/>
      <c r="K68" s="989"/>
      <c r="L68" s="989"/>
      <c r="M68" s="990"/>
      <c r="N68" s="313"/>
      <c r="O68" s="426">
        <f t="shared" si="1"/>
        <v>0</v>
      </c>
    </row>
    <row r="69" spans="2:15" ht="32.1" hidden="1" customHeight="1">
      <c r="B69" s="420"/>
      <c r="C69" s="312">
        <v>0</v>
      </c>
      <c r="D69" s="317">
        <f t="shared" si="0"/>
        <v>0</v>
      </c>
      <c r="E69" s="318" t="str">
        <f>VLOOKUP("[m]",Sprachindex!$A:$Z,Haftungsausschluß!$O$6,FALSE)</f>
        <v>[m]</v>
      </c>
      <c r="F69" s="318" t="str">
        <f>IF($L$14=1,Preisliste!$E$13,Preisliste!$F$13)</f>
        <v>H501001</v>
      </c>
      <c r="G69" s="988" t="str">
        <f>VLOOKUP("Dammbalken 50/200 exkl. Dichtung, gesägt und entgratet",Sprachindex!$A:$Z,Haftungsausschluß!$O$6,FALSE) &amp; " (" &amp; ROUNDUP(C69/1000*4.12,2) &amp; " " &amp; VLOOKUP("kg/Stk",Sprachindex!$A:$Z,Haftungsausschluß!$O$6,FALSE) &amp; ")" &amp; IF('Kalkulation 1'!$AH$33," " &amp; 'Kalkulation 1'!$R$9,"")</f>
        <v>Dammbalken 50/200 exkl. Dichtung, gesägt und entgratet (0 kg/Stk)</v>
      </c>
      <c r="H69" s="989"/>
      <c r="I69" s="989"/>
      <c r="J69" s="989"/>
      <c r="K69" s="989"/>
      <c r="L69" s="989"/>
      <c r="M69" s="990"/>
      <c r="N69" s="313"/>
      <c r="O69" s="426">
        <f t="shared" si="1"/>
        <v>0</v>
      </c>
    </row>
    <row r="70" spans="2:15" ht="32.1" hidden="1" customHeight="1">
      <c r="B70" s="420"/>
      <c r="C70" s="312">
        <v>0</v>
      </c>
      <c r="D70" s="317">
        <f t="shared" si="0"/>
        <v>0</v>
      </c>
      <c r="E70" s="318" t="str">
        <f>VLOOKUP("[m]",Sprachindex!$A:$Z,Haftungsausschluß!$O$6,FALSE)</f>
        <v>[m]</v>
      </c>
      <c r="F70" s="318" t="str">
        <f>IF($L$14=1,Preisliste!$E$13,Preisliste!$F$13)</f>
        <v>H501001</v>
      </c>
      <c r="G70" s="988" t="str">
        <f>VLOOKUP("Dammbalken 50/200 exkl. Dichtung, gesägt und entgratet",Sprachindex!$A:$Z,Haftungsausschluß!$O$6,FALSE) &amp; " (" &amp; ROUNDUP(C70/1000*4.12,2) &amp; " " &amp; VLOOKUP("kg/Stk",Sprachindex!$A:$Z,Haftungsausschluß!$O$6,FALSE) &amp; ")" &amp; IF('Kalkulation 1'!$AH$33," " &amp; 'Kalkulation 1'!$R$9,"")</f>
        <v>Dammbalken 50/200 exkl. Dichtung, gesägt und entgratet (0 kg/Stk)</v>
      </c>
      <c r="H70" s="989"/>
      <c r="I70" s="989"/>
      <c r="J70" s="989"/>
      <c r="K70" s="989"/>
      <c r="L70" s="989"/>
      <c r="M70" s="990"/>
      <c r="N70" s="313"/>
      <c r="O70" s="426">
        <f t="shared" si="1"/>
        <v>0</v>
      </c>
    </row>
    <row r="71" spans="2:15" ht="32.1" hidden="1" customHeight="1">
      <c r="B71" s="420"/>
      <c r="C71" s="312">
        <v>0</v>
      </c>
      <c r="D71" s="317">
        <f t="shared" si="0"/>
        <v>0</v>
      </c>
      <c r="E71" s="318" t="str">
        <f>VLOOKUP("[m]",Sprachindex!$A:$Z,Haftungsausschluß!$O$6,FALSE)</f>
        <v>[m]</v>
      </c>
      <c r="F71" s="318" t="str">
        <f>IF($L$14=1,Preisliste!$E$13,Preisliste!$F$13)</f>
        <v>H501001</v>
      </c>
      <c r="G71" s="988" t="str">
        <f>VLOOKUP("Dammbalken 50/200 exkl. Dichtung, gesägt und entgratet",Sprachindex!$A:$Z,Haftungsausschluß!$O$6,FALSE) &amp; " (" &amp; ROUNDUP(C71/1000*4.12,2) &amp; " " &amp; VLOOKUP("kg/Stk",Sprachindex!$A:$Z,Haftungsausschluß!$O$6,FALSE) &amp; ")" &amp; IF('Kalkulation 1'!$AH$33," " &amp; 'Kalkulation 1'!$R$9,"")</f>
        <v>Dammbalken 50/200 exkl. Dichtung, gesägt und entgratet (0 kg/Stk)</v>
      </c>
      <c r="H71" s="989"/>
      <c r="I71" s="989"/>
      <c r="J71" s="989"/>
      <c r="K71" s="989"/>
      <c r="L71" s="989"/>
      <c r="M71" s="990"/>
      <c r="N71" s="313"/>
      <c r="O71" s="426">
        <f t="shared" si="1"/>
        <v>0</v>
      </c>
    </row>
    <row r="72" spans="2:15" ht="32.1" hidden="1" customHeight="1">
      <c r="B72" s="420"/>
      <c r="C72" s="312">
        <v>0</v>
      </c>
      <c r="D72" s="317">
        <f t="shared" si="0"/>
        <v>0</v>
      </c>
      <c r="E72" s="318" t="str">
        <f>VLOOKUP("[m]",Sprachindex!$A:$Z,Haftungsausschluß!$O$6,FALSE)</f>
        <v>[m]</v>
      </c>
      <c r="F72" s="318" t="str">
        <f>IF($L$14=1,Preisliste!$E$13,Preisliste!$F$13)</f>
        <v>H501001</v>
      </c>
      <c r="G72" s="988" t="str">
        <f>VLOOKUP("Dammbalken 50/200 exkl. Dichtung, gesägt und entgratet",Sprachindex!$A:$Z,Haftungsausschluß!$O$6,FALSE) &amp; " (" &amp; ROUNDUP(C72/1000*4.12,2) &amp; " " &amp; VLOOKUP("kg/Stk",Sprachindex!$A:$Z,Haftungsausschluß!$O$6,FALSE) &amp; ")" &amp; IF('Kalkulation 1'!$AH$33," " &amp; 'Kalkulation 1'!$R$9,"")</f>
        <v>Dammbalken 50/200 exkl. Dichtung, gesägt und entgratet (0 kg/Stk)</v>
      </c>
      <c r="H72" s="989"/>
      <c r="I72" s="989"/>
      <c r="J72" s="989"/>
      <c r="K72" s="989"/>
      <c r="L72" s="989"/>
      <c r="M72" s="990"/>
      <c r="N72" s="313"/>
      <c r="O72" s="426">
        <f t="shared" si="1"/>
        <v>0</v>
      </c>
    </row>
    <row r="73" spans="2:15" ht="32.1" hidden="1" customHeight="1">
      <c r="B73" s="420"/>
      <c r="C73" s="312">
        <v>0</v>
      </c>
      <c r="D73" s="317">
        <f t="shared" si="0"/>
        <v>0</v>
      </c>
      <c r="E73" s="318" t="str">
        <f>VLOOKUP("[m]",Sprachindex!$A:$Z,Haftungsausschluß!$O$6,FALSE)</f>
        <v>[m]</v>
      </c>
      <c r="F73" s="318" t="str">
        <f>IF($L$14=1,Preisliste!$E$13,Preisliste!$F$13)</f>
        <v>H501001</v>
      </c>
      <c r="G73" s="988" t="str">
        <f>VLOOKUP("Dammbalken 50/200 exkl. Dichtung, gesägt und entgratet",Sprachindex!$A:$Z,Haftungsausschluß!$O$6,FALSE) &amp; " (" &amp; ROUNDUP(C73/1000*4.12,2) &amp; " " &amp; VLOOKUP("kg/Stk",Sprachindex!$A:$Z,Haftungsausschluß!$O$6,FALSE) &amp; ")" &amp; IF('Kalkulation 1'!$AH$33," " &amp; 'Kalkulation 1'!$R$9,"")</f>
        <v>Dammbalken 50/200 exkl. Dichtung, gesägt und entgratet (0 kg/Stk)</v>
      </c>
      <c r="H73" s="989"/>
      <c r="I73" s="989"/>
      <c r="J73" s="989"/>
      <c r="K73" s="989"/>
      <c r="L73" s="989"/>
      <c r="M73" s="990"/>
      <c r="N73" s="313"/>
      <c r="O73" s="426">
        <f t="shared" si="1"/>
        <v>0</v>
      </c>
    </row>
    <row r="74" spans="2:15" ht="32.1" hidden="1" customHeight="1">
      <c r="B74" s="420"/>
      <c r="C74" s="312">
        <v>0</v>
      </c>
      <c r="D74" s="317">
        <f t="shared" si="0"/>
        <v>0</v>
      </c>
      <c r="E74" s="318" t="str">
        <f>VLOOKUP("[m]",Sprachindex!$A:$Z,Haftungsausschluß!$O$6,FALSE)</f>
        <v>[m]</v>
      </c>
      <c r="F74" s="318" t="str">
        <f>IF($L$14=1,Preisliste!$E$13,Preisliste!$F$13)</f>
        <v>H501001</v>
      </c>
      <c r="G74" s="988" t="str">
        <f>VLOOKUP("Dammbalken 50/200 exkl. Dichtung, gesägt und entgratet",Sprachindex!$A:$Z,Haftungsausschluß!$O$6,FALSE) &amp; " (" &amp; ROUNDUP(C74/1000*4.12,2) &amp; " " &amp; VLOOKUP("kg/Stk",Sprachindex!$A:$Z,Haftungsausschluß!$O$6,FALSE) &amp; ")" &amp; IF('Kalkulation 1'!$AH$33," " &amp; 'Kalkulation 1'!$R$9,"")</f>
        <v>Dammbalken 50/200 exkl. Dichtung, gesägt und entgratet (0 kg/Stk)</v>
      </c>
      <c r="H74" s="989"/>
      <c r="I74" s="989"/>
      <c r="J74" s="989"/>
      <c r="K74" s="989"/>
      <c r="L74" s="989"/>
      <c r="M74" s="990"/>
      <c r="N74" s="313"/>
      <c r="O74" s="426">
        <f t="shared" si="1"/>
        <v>0</v>
      </c>
    </row>
    <row r="75" spans="2:15" ht="32.1" hidden="1" customHeight="1">
      <c r="B75" s="420"/>
      <c r="C75" s="312">
        <v>0</v>
      </c>
      <c r="D75" s="317">
        <f t="shared" si="0"/>
        <v>0</v>
      </c>
      <c r="E75" s="318" t="str">
        <f>VLOOKUP("[m]",Sprachindex!$A:$Z,Haftungsausschluß!$O$6,FALSE)</f>
        <v>[m]</v>
      </c>
      <c r="F75" s="318" t="str">
        <f>IF($L$14=1,Preisliste!$E$13,Preisliste!$F$13)</f>
        <v>H501001</v>
      </c>
      <c r="G75" s="988" t="str">
        <f>VLOOKUP("Dammbalken 50/200 exkl. Dichtung, gesägt und entgratet",Sprachindex!$A:$Z,Haftungsausschluß!$O$6,FALSE) &amp; " (" &amp; ROUNDUP(C75/1000*4.12,2) &amp; " " &amp; VLOOKUP("kg/Stk",Sprachindex!$A:$Z,Haftungsausschluß!$O$6,FALSE) &amp; ")" &amp; IF('Kalkulation 1'!$AH$33," " &amp; 'Kalkulation 1'!$R$9,"")</f>
        <v>Dammbalken 50/200 exkl. Dichtung, gesägt und entgratet (0 kg/Stk)</v>
      </c>
      <c r="H75" s="989"/>
      <c r="I75" s="989"/>
      <c r="J75" s="989"/>
      <c r="K75" s="989"/>
      <c r="L75" s="989"/>
      <c r="M75" s="990"/>
      <c r="N75" s="313"/>
      <c r="O75" s="426">
        <f t="shared" si="1"/>
        <v>0</v>
      </c>
    </row>
    <row r="76" spans="2:15" ht="32.1" hidden="1" customHeight="1">
      <c r="B76" s="420"/>
      <c r="C76" s="312">
        <v>1015</v>
      </c>
      <c r="D76" s="317">
        <f t="shared" si="0"/>
        <v>0</v>
      </c>
      <c r="E76" s="318" t="str">
        <f>VLOOKUP("[m]",Sprachindex!$A:$Z,Haftungsausschluß!$O$6,FALSE)</f>
        <v>[m]</v>
      </c>
      <c r="F76" s="318" t="str">
        <f>IF($L$14=1,Preisliste!$E$16,Preisliste!$F$16)</f>
        <v>H801001</v>
      </c>
      <c r="G76" s="988" t="str">
        <f>VLOOKUP("Dammbalken 80/200 exkl. Dichtung, gesägt und entgratet",Sprachindex!$A:$Z,Haftungsausschluß!$O$6,FALSE) &amp; " (" &amp; ROUNDUP(C76/1000*7.78,2) &amp; " " &amp; VLOOKUP("kg/Stk",Sprachindex!$A:$Z,Haftungsausschluß!$O$6,FALSE) &amp; ")" &amp; IF('Kalkulation 1'!$AH$33," " &amp; 'Kalkulation 1'!$R$9,"")</f>
        <v>Dammbalken 80/200 exkl. Dichtung, gesägt und entgratet (7.9 kg/Stk)</v>
      </c>
      <c r="H76" s="989"/>
      <c r="I76" s="989"/>
      <c r="J76" s="989"/>
      <c r="K76" s="989"/>
      <c r="L76" s="989"/>
      <c r="M76" s="990"/>
      <c r="N76" s="313"/>
      <c r="O76" s="426">
        <f t="shared" si="1"/>
        <v>0</v>
      </c>
    </row>
    <row r="77" spans="2:15" ht="32.1" hidden="1" customHeight="1">
      <c r="B77" s="420"/>
      <c r="C77" s="312">
        <v>0</v>
      </c>
      <c r="D77" s="317">
        <f t="shared" si="0"/>
        <v>0</v>
      </c>
      <c r="E77" s="318" t="str">
        <f>VLOOKUP("[m]",Sprachindex!$A:$Z,Haftungsausschluß!$O$6,FALSE)</f>
        <v>[m]</v>
      </c>
      <c r="F77" s="318" t="str">
        <f>IF($L$14=1,Preisliste!$E$16,Preisliste!$F$16)</f>
        <v>H801001</v>
      </c>
      <c r="G77" s="988" t="str">
        <f>VLOOKUP("Dammbalken 80/200 exkl. Dichtung, gesägt und entgratet",Sprachindex!$A:$Z,Haftungsausschluß!$O$6,FALSE) &amp; " (" &amp; ROUNDUP(C77/1000*7.78,2) &amp; " " &amp; VLOOKUP("kg/Stk",Sprachindex!$A:$Z,Haftungsausschluß!$O$6,FALSE) &amp; ")" &amp; IF('Kalkulation 1'!$AH$33," " &amp; 'Kalkulation 1'!$R$9,"")</f>
        <v>Dammbalken 80/200 exkl. Dichtung, gesägt und entgratet (0 kg/Stk)</v>
      </c>
      <c r="H77" s="989"/>
      <c r="I77" s="989"/>
      <c r="J77" s="989"/>
      <c r="K77" s="989"/>
      <c r="L77" s="989"/>
      <c r="M77" s="990"/>
      <c r="N77" s="313"/>
      <c r="O77" s="426">
        <f t="shared" si="1"/>
        <v>0</v>
      </c>
    </row>
    <row r="78" spans="2:15" ht="32.1" hidden="1" customHeight="1">
      <c r="B78" s="420"/>
      <c r="C78" s="312">
        <v>0</v>
      </c>
      <c r="D78" s="317">
        <f t="shared" si="0"/>
        <v>0</v>
      </c>
      <c r="E78" s="318" t="str">
        <f>VLOOKUP("[m]",Sprachindex!$A:$Z,Haftungsausschluß!$O$6,FALSE)</f>
        <v>[m]</v>
      </c>
      <c r="F78" s="318" t="str">
        <f>IF($L$14=1,Preisliste!$E$16,Preisliste!$F$16)</f>
        <v>H801001</v>
      </c>
      <c r="G78" s="988" t="str">
        <f>VLOOKUP("Dammbalken 80/200 exkl. Dichtung, gesägt und entgratet",Sprachindex!$A:$Z,Haftungsausschluß!$O$6,FALSE) &amp; " (" &amp; ROUNDUP(C78/1000*7.78,2) &amp; " " &amp; VLOOKUP("kg/Stk",Sprachindex!$A:$Z,Haftungsausschluß!$O$6,FALSE) &amp; ")" &amp; IF('Kalkulation 1'!$AH$33," " &amp; 'Kalkulation 1'!$R$9,"")</f>
        <v>Dammbalken 80/200 exkl. Dichtung, gesägt und entgratet (0 kg/Stk)</v>
      </c>
      <c r="H78" s="989"/>
      <c r="I78" s="989"/>
      <c r="J78" s="989"/>
      <c r="K78" s="989"/>
      <c r="L78" s="989"/>
      <c r="M78" s="990"/>
      <c r="N78" s="313"/>
      <c r="O78" s="426">
        <f t="shared" si="1"/>
        <v>0</v>
      </c>
    </row>
    <row r="79" spans="2:15" ht="32.1" hidden="1" customHeight="1">
      <c r="B79" s="420"/>
      <c r="C79" s="312">
        <v>0</v>
      </c>
      <c r="D79" s="317">
        <f t="shared" si="0"/>
        <v>0</v>
      </c>
      <c r="E79" s="318" t="str">
        <f>VLOOKUP("[m]",Sprachindex!$A:$Z,Haftungsausschluß!$O$6,FALSE)</f>
        <v>[m]</v>
      </c>
      <c r="F79" s="318" t="str">
        <f>IF($L$14=1,Preisliste!$E$16,Preisliste!$F$16)</f>
        <v>H801001</v>
      </c>
      <c r="G79" s="988" t="str">
        <f>VLOOKUP("Dammbalken 80/200 exkl. Dichtung, gesägt und entgratet",Sprachindex!$A:$Z,Haftungsausschluß!$O$6,FALSE) &amp; " (" &amp; ROUNDUP(C79/1000*7.78,2) &amp; " " &amp; VLOOKUP("kg/Stk",Sprachindex!$A:$Z,Haftungsausschluß!$O$6,FALSE) &amp; ")" &amp; IF('Kalkulation 1'!$AH$33," " &amp; 'Kalkulation 1'!$R$9,"")</f>
        <v>Dammbalken 80/200 exkl. Dichtung, gesägt und entgratet (0 kg/Stk)</v>
      </c>
      <c r="H79" s="989"/>
      <c r="I79" s="989"/>
      <c r="J79" s="989"/>
      <c r="K79" s="989"/>
      <c r="L79" s="989"/>
      <c r="M79" s="990"/>
      <c r="N79" s="313"/>
      <c r="O79" s="426">
        <f t="shared" si="1"/>
        <v>0</v>
      </c>
    </row>
    <row r="80" spans="2:15" ht="32.1" hidden="1" customHeight="1">
      <c r="B80" s="420"/>
      <c r="C80" s="312">
        <v>0</v>
      </c>
      <c r="D80" s="317">
        <f t="shared" si="0"/>
        <v>0</v>
      </c>
      <c r="E80" s="318" t="str">
        <f>VLOOKUP("[m]",Sprachindex!$A:$Z,Haftungsausschluß!$O$6,FALSE)</f>
        <v>[m]</v>
      </c>
      <c r="F80" s="318" t="str">
        <f>IF($L$14=1,Preisliste!$E$16,Preisliste!$F$16)</f>
        <v>H801001</v>
      </c>
      <c r="G80" s="988" t="str">
        <f>VLOOKUP("Dammbalken 80/200 exkl. Dichtung, gesägt und entgratet",Sprachindex!$A:$Z,Haftungsausschluß!$O$6,FALSE) &amp; " (" &amp; ROUNDUP(C80/1000*7.78,2) &amp; " " &amp; VLOOKUP("kg/Stk",Sprachindex!$A:$Z,Haftungsausschluß!$O$6,FALSE) &amp; ")" &amp; IF('Kalkulation 1'!$AH$33," " &amp; 'Kalkulation 1'!$R$9,"")</f>
        <v>Dammbalken 80/200 exkl. Dichtung, gesägt und entgratet (0 kg/Stk)</v>
      </c>
      <c r="H80" s="989"/>
      <c r="I80" s="989"/>
      <c r="J80" s="989"/>
      <c r="K80" s="989"/>
      <c r="L80" s="989"/>
      <c r="M80" s="990"/>
      <c r="N80" s="313"/>
      <c r="O80" s="426">
        <f t="shared" si="1"/>
        <v>0</v>
      </c>
    </row>
    <row r="81" spans="2:16" ht="32.1" hidden="1" customHeight="1">
      <c r="B81" s="420"/>
      <c r="C81" s="312">
        <v>0</v>
      </c>
      <c r="D81" s="317">
        <f t="shared" si="0"/>
        <v>0</v>
      </c>
      <c r="E81" s="318" t="str">
        <f>VLOOKUP("[m]",Sprachindex!$A:$Z,Haftungsausschluß!$O$6,FALSE)</f>
        <v>[m]</v>
      </c>
      <c r="F81" s="318" t="str">
        <f>IF($L$14=1,Preisliste!$E$16,Preisliste!$F$16)</f>
        <v>H801001</v>
      </c>
      <c r="G81" s="988" t="str">
        <f>VLOOKUP("Dammbalken 80/200 exkl. Dichtung, gesägt und entgratet",Sprachindex!$A:$Z,Haftungsausschluß!$O$6,FALSE) &amp; " (" &amp; ROUNDUP(C81/1000*7.78,2) &amp; " " &amp; VLOOKUP("kg/Stk",Sprachindex!$A:$Z,Haftungsausschluß!$O$6,FALSE) &amp; ")" &amp; IF('Kalkulation 1'!$AH$33," " &amp; 'Kalkulation 1'!$R$9,"")</f>
        <v>Dammbalken 80/200 exkl. Dichtung, gesägt und entgratet (0 kg/Stk)</v>
      </c>
      <c r="H81" s="989"/>
      <c r="I81" s="989"/>
      <c r="J81" s="989"/>
      <c r="K81" s="989"/>
      <c r="L81" s="989"/>
      <c r="M81" s="990"/>
      <c r="N81" s="313"/>
      <c r="O81" s="426">
        <f t="shared" si="1"/>
        <v>0</v>
      </c>
    </row>
    <row r="82" spans="2:16" ht="32.1" hidden="1" customHeight="1">
      <c r="B82" s="420"/>
      <c r="C82" s="312">
        <v>0</v>
      </c>
      <c r="D82" s="317">
        <f t="shared" ref="D82:D95" si="2">B82*C82/1000</f>
        <v>0</v>
      </c>
      <c r="E82" s="318" t="str">
        <f>VLOOKUP("[m]",Sprachindex!$A:$Z,Haftungsausschluß!$O$6,FALSE)</f>
        <v>[m]</v>
      </c>
      <c r="F82" s="318" t="str">
        <f>IF($L$14=1,Preisliste!$E$16,Preisliste!$F$16)</f>
        <v>H801001</v>
      </c>
      <c r="G82" s="988" t="str">
        <f>VLOOKUP("Dammbalken 80/200 exkl. Dichtung, gesägt und entgratet",Sprachindex!$A:$Z,Haftungsausschluß!$O$6,FALSE) &amp; " (" &amp; ROUNDUP(C82/1000*7.78,2) &amp; " " &amp; VLOOKUP("kg/Stk",Sprachindex!$A:$Z,Haftungsausschluß!$O$6,FALSE) &amp; ")" &amp; IF('Kalkulation 1'!$AH$33," " &amp; 'Kalkulation 1'!$R$9,"")</f>
        <v>Dammbalken 80/200 exkl. Dichtung, gesägt und entgratet (0 kg/Stk)</v>
      </c>
      <c r="H82" s="989"/>
      <c r="I82" s="989"/>
      <c r="J82" s="989"/>
      <c r="K82" s="989"/>
      <c r="L82" s="989"/>
      <c r="M82" s="990"/>
      <c r="N82" s="313"/>
      <c r="O82" s="426">
        <f t="shared" ref="O82:O145" si="3">N82*D82</f>
        <v>0</v>
      </c>
    </row>
    <row r="83" spans="2:16" ht="32.1" hidden="1" customHeight="1">
      <c r="B83" s="420"/>
      <c r="C83" s="312">
        <v>0</v>
      </c>
      <c r="D83" s="317">
        <f t="shared" si="2"/>
        <v>0</v>
      </c>
      <c r="E83" s="318" t="str">
        <f>VLOOKUP("[m]",Sprachindex!$A:$Z,Haftungsausschluß!$O$6,FALSE)</f>
        <v>[m]</v>
      </c>
      <c r="F83" s="318" t="str">
        <f>IF($L$14=1,Preisliste!$E$16,Preisliste!$F$16)</f>
        <v>H801001</v>
      </c>
      <c r="G83" s="988" t="str">
        <f>VLOOKUP("Dammbalken 80/200 exkl. Dichtung, gesägt und entgratet",Sprachindex!$A:$Z,Haftungsausschluß!$O$6,FALSE) &amp; " (" &amp; ROUNDUP(C83/1000*7.78,2) &amp; " " &amp; VLOOKUP("kg/Stk",Sprachindex!$A:$Z,Haftungsausschluß!$O$6,FALSE) &amp; ")" &amp; IF('Kalkulation 1'!$AH$33," " &amp; 'Kalkulation 1'!$R$9,"")</f>
        <v>Dammbalken 80/200 exkl. Dichtung, gesägt und entgratet (0 kg/Stk)</v>
      </c>
      <c r="H83" s="989"/>
      <c r="I83" s="989"/>
      <c r="J83" s="989"/>
      <c r="K83" s="989"/>
      <c r="L83" s="989"/>
      <c r="M83" s="990"/>
      <c r="N83" s="313"/>
      <c r="O83" s="426">
        <f t="shared" si="3"/>
        <v>0</v>
      </c>
    </row>
    <row r="84" spans="2:16" ht="32.1" hidden="1" customHeight="1">
      <c r="B84" s="420"/>
      <c r="C84" s="312">
        <v>0</v>
      </c>
      <c r="D84" s="317">
        <f t="shared" si="2"/>
        <v>0</v>
      </c>
      <c r="E84" s="318" t="str">
        <f>VLOOKUP("[m]",Sprachindex!$A:$Z,Haftungsausschluß!$O$6,FALSE)</f>
        <v>[m]</v>
      </c>
      <c r="F84" s="318" t="str">
        <f>IF($L$14=1,Preisliste!$E$16,Preisliste!$F$16)</f>
        <v>H801001</v>
      </c>
      <c r="G84" s="988" t="str">
        <f>VLOOKUP("Dammbalken 80/200 exkl. Dichtung, gesägt und entgratet",Sprachindex!$A:$Z,Haftungsausschluß!$O$6,FALSE) &amp; " (" &amp; ROUNDUP(C84/1000*7.78,2) &amp; " " &amp; VLOOKUP("kg/Stk",Sprachindex!$A:$Z,Haftungsausschluß!$O$6,FALSE) &amp; ")" &amp; IF('Kalkulation 1'!$AH$33," " &amp; 'Kalkulation 1'!$R$9,"")</f>
        <v>Dammbalken 80/200 exkl. Dichtung, gesägt und entgratet (0 kg/Stk)</v>
      </c>
      <c r="H84" s="989"/>
      <c r="I84" s="989"/>
      <c r="J84" s="989"/>
      <c r="K84" s="989"/>
      <c r="L84" s="989"/>
      <c r="M84" s="990"/>
      <c r="N84" s="313"/>
      <c r="O84" s="426">
        <f t="shared" si="3"/>
        <v>0</v>
      </c>
    </row>
    <row r="85" spans="2:16" ht="32.1" hidden="1" customHeight="1">
      <c r="B85" s="420"/>
      <c r="C85" s="312">
        <v>0</v>
      </c>
      <c r="D85" s="317">
        <f t="shared" si="2"/>
        <v>0</v>
      </c>
      <c r="E85" s="318" t="str">
        <f>VLOOKUP("[m]",Sprachindex!$A:$Z,Haftungsausschluß!$O$6,FALSE)</f>
        <v>[m]</v>
      </c>
      <c r="F85" s="318" t="str">
        <f>IF($L$14=1,Preisliste!$E$16,Preisliste!$F$16)</f>
        <v>H801001</v>
      </c>
      <c r="G85" s="988" t="str">
        <f>VLOOKUP("Dammbalken 80/200 exkl. Dichtung, gesägt und entgratet",Sprachindex!$A:$Z,Haftungsausschluß!$O$6,FALSE) &amp; " (" &amp; ROUNDUP(C85/1000*7.78,2) &amp; " " &amp; VLOOKUP("kg/Stk",Sprachindex!$A:$Z,Haftungsausschluß!$O$6,FALSE) &amp; ")" &amp; IF('Kalkulation 1'!$AH$33," " &amp; 'Kalkulation 1'!$R$9,"")</f>
        <v>Dammbalken 80/200 exkl. Dichtung, gesägt und entgratet (0 kg/Stk)</v>
      </c>
      <c r="H85" s="989"/>
      <c r="I85" s="989"/>
      <c r="J85" s="989"/>
      <c r="K85" s="989"/>
      <c r="L85" s="989"/>
      <c r="M85" s="990"/>
      <c r="N85" s="313"/>
      <c r="O85" s="426">
        <f t="shared" si="3"/>
        <v>0</v>
      </c>
    </row>
    <row r="86" spans="2:16" ht="32.1" hidden="1" customHeight="1">
      <c r="B86" s="420"/>
      <c r="C86" s="312">
        <v>0</v>
      </c>
      <c r="D86" s="317">
        <f t="shared" si="2"/>
        <v>0</v>
      </c>
      <c r="E86" s="318" t="str">
        <f>VLOOKUP("[m]",Sprachindex!$A:$Z,Haftungsausschluß!$O$6,FALSE)</f>
        <v>[m]</v>
      </c>
      <c r="F86" s="318" t="str">
        <f>IF($L$14=1,Preisliste!$E$16,Preisliste!$F$16)</f>
        <v>H801001</v>
      </c>
      <c r="G86" s="988" t="str">
        <f>VLOOKUP("Dammbalken 80/200 exkl. Dichtung, gesägt und entgratet",Sprachindex!$A:$Z,Haftungsausschluß!$O$6,FALSE) &amp; " (" &amp; ROUNDUP(C86/1000*7.78,2) &amp; " " &amp; VLOOKUP("kg/Stk",Sprachindex!$A:$Z,Haftungsausschluß!$O$6,FALSE) &amp; ")" &amp; IF('Kalkulation 1'!$AH$33," " &amp; 'Kalkulation 1'!$R$9,"")</f>
        <v>Dammbalken 80/200 exkl. Dichtung, gesägt und entgratet (0 kg/Stk)</v>
      </c>
      <c r="H86" s="989"/>
      <c r="I86" s="989"/>
      <c r="J86" s="989"/>
      <c r="K86" s="989"/>
      <c r="L86" s="989"/>
      <c r="M86" s="990"/>
      <c r="N86" s="313"/>
      <c r="O86" s="426">
        <f t="shared" si="3"/>
        <v>0</v>
      </c>
    </row>
    <row r="87" spans="2:16" ht="32.1" hidden="1" customHeight="1">
      <c r="B87" s="420"/>
      <c r="C87" s="312">
        <v>0</v>
      </c>
      <c r="D87" s="317">
        <f t="shared" si="2"/>
        <v>0</v>
      </c>
      <c r="E87" s="318" t="str">
        <f>VLOOKUP("[m]",Sprachindex!$A:$Z,Haftungsausschluß!$O$6,FALSE)</f>
        <v>[m]</v>
      </c>
      <c r="F87" s="318" t="str">
        <f>IF($L$14=1,Preisliste!$E$16,Preisliste!$F$16)</f>
        <v>H801001</v>
      </c>
      <c r="G87" s="988" t="str">
        <f>VLOOKUP("Dammbalken 80/200 exkl. Dichtung, gesägt und entgratet",Sprachindex!$A:$Z,Haftungsausschluß!$O$6,FALSE) &amp; " (" &amp; ROUNDUP(C87/1000*7.78,2) &amp; " " &amp; VLOOKUP("kg/Stk",Sprachindex!$A:$Z,Haftungsausschluß!$O$6,FALSE) &amp; ")" &amp; IF('Kalkulation 1'!$AH$33," " &amp; 'Kalkulation 1'!$R$9,"")</f>
        <v>Dammbalken 80/200 exkl. Dichtung, gesägt und entgratet (0 kg/Stk)</v>
      </c>
      <c r="H87" s="989"/>
      <c r="I87" s="989"/>
      <c r="J87" s="989"/>
      <c r="K87" s="989"/>
      <c r="L87" s="989"/>
      <c r="M87" s="990"/>
      <c r="N87" s="313"/>
      <c r="O87" s="426">
        <f t="shared" si="3"/>
        <v>0</v>
      </c>
    </row>
    <row r="88" spans="2:16" ht="32.1" hidden="1" customHeight="1">
      <c r="B88" s="420"/>
      <c r="C88" s="312">
        <v>0</v>
      </c>
      <c r="D88" s="317">
        <f t="shared" si="2"/>
        <v>0</v>
      </c>
      <c r="E88" s="318" t="str">
        <f>VLOOKUP("[m]",Sprachindex!$A:$Z,Haftungsausschluß!$O$6,FALSE)</f>
        <v>[m]</v>
      </c>
      <c r="F88" s="318" t="str">
        <f>IF($L$14=1,Preisliste!$E$16,Preisliste!$F$16)</f>
        <v>H801001</v>
      </c>
      <c r="G88" s="988" t="str">
        <f>VLOOKUP("Dammbalken 80/200 exkl. Dichtung, gesägt und entgratet",Sprachindex!$A:$Z,Haftungsausschluß!$O$6,FALSE) &amp; " (" &amp; ROUNDUP(C88/1000*7.78,2) &amp; " " &amp; VLOOKUP("kg/Stk",Sprachindex!$A:$Z,Haftungsausschluß!$O$6,FALSE) &amp; ")" &amp; IF('Kalkulation 1'!$AH$33," " &amp; 'Kalkulation 1'!$R$9,"")</f>
        <v>Dammbalken 80/200 exkl. Dichtung, gesägt und entgratet (0 kg/Stk)</v>
      </c>
      <c r="H88" s="989"/>
      <c r="I88" s="989"/>
      <c r="J88" s="989"/>
      <c r="K88" s="989"/>
      <c r="L88" s="989"/>
      <c r="M88" s="990"/>
      <c r="N88" s="313"/>
      <c r="O88" s="426">
        <f t="shared" si="3"/>
        <v>0</v>
      </c>
    </row>
    <row r="89" spans="2:16" ht="32.1" hidden="1" customHeight="1">
      <c r="B89" s="420"/>
      <c r="C89" s="312">
        <v>0</v>
      </c>
      <c r="D89" s="317">
        <f t="shared" si="2"/>
        <v>0</v>
      </c>
      <c r="E89" s="318" t="str">
        <f>VLOOKUP("[m]",Sprachindex!$A:$Z,Haftungsausschluß!$O$6,FALSE)</f>
        <v>[m]</v>
      </c>
      <c r="F89" s="318" t="str">
        <f>IF($L$14=1,Preisliste!$E$16,Preisliste!$F$16)</f>
        <v>H801001</v>
      </c>
      <c r="G89" s="988" t="str">
        <f>VLOOKUP("Dammbalken 80/200 exkl. Dichtung, gesägt und entgratet",Sprachindex!$A:$Z,Haftungsausschluß!$O$6,FALSE) &amp; " (" &amp; ROUNDUP(C89/1000*7.78,2) &amp; " " &amp; VLOOKUP("kg/Stk",Sprachindex!$A:$Z,Haftungsausschluß!$O$6,FALSE) &amp; ")" &amp; IF('Kalkulation 1'!$AH$33," " &amp; 'Kalkulation 1'!$R$9,"")</f>
        <v>Dammbalken 80/200 exkl. Dichtung, gesägt und entgratet (0 kg/Stk)</v>
      </c>
      <c r="H89" s="989"/>
      <c r="I89" s="989"/>
      <c r="J89" s="989"/>
      <c r="K89" s="989"/>
      <c r="L89" s="989"/>
      <c r="M89" s="990"/>
      <c r="N89" s="313"/>
      <c r="O89" s="426">
        <f t="shared" si="3"/>
        <v>0</v>
      </c>
    </row>
    <row r="90" spans="2:16" ht="32.1" hidden="1" customHeight="1">
      <c r="B90" s="420"/>
      <c r="C90" s="312">
        <v>0</v>
      </c>
      <c r="D90" s="317">
        <f t="shared" si="2"/>
        <v>0</v>
      </c>
      <c r="E90" s="318" t="str">
        <f>VLOOKUP("[m]",Sprachindex!$A:$Z,Haftungsausschluß!$O$6,FALSE)</f>
        <v>[m]</v>
      </c>
      <c r="F90" s="318" t="str">
        <f>IF($L$14=1,Preisliste!$E$16,Preisliste!$F$16)</f>
        <v>H801001</v>
      </c>
      <c r="G90" s="988" t="str">
        <f>VLOOKUP("Dammbalken 80/200 exkl. Dichtung, gesägt und entgratet",Sprachindex!$A:$Z,Haftungsausschluß!$O$6,FALSE) &amp; " (" &amp; ROUNDUP(C90/1000*7.78,2) &amp; " " &amp; VLOOKUP("kg/Stk",Sprachindex!$A:$Z,Haftungsausschluß!$O$6,FALSE) &amp; ")" &amp; IF('Kalkulation 1'!$AH$33," " &amp; 'Kalkulation 1'!$R$9,"")</f>
        <v>Dammbalken 80/200 exkl. Dichtung, gesägt und entgratet (0 kg/Stk)</v>
      </c>
      <c r="H90" s="989"/>
      <c r="I90" s="989"/>
      <c r="J90" s="989"/>
      <c r="K90" s="989"/>
      <c r="L90" s="989"/>
      <c r="M90" s="990"/>
      <c r="N90" s="313"/>
      <c r="O90" s="426">
        <f t="shared" si="3"/>
        <v>0</v>
      </c>
    </row>
    <row r="91" spans="2:16" ht="32.1" hidden="1" customHeight="1">
      <c r="B91" s="420"/>
      <c r="C91" s="312">
        <v>0</v>
      </c>
      <c r="D91" s="317">
        <f t="shared" si="2"/>
        <v>0</v>
      </c>
      <c r="E91" s="318" t="str">
        <f>VLOOKUP("[m]",Sprachindex!$A:$Z,Haftungsausschluß!$O$6,FALSE)</f>
        <v>[m]</v>
      </c>
      <c r="F91" s="318" t="str">
        <f>IF($L$14=1,Preisliste!$E$16,Preisliste!$F$16)</f>
        <v>H801001</v>
      </c>
      <c r="G91" s="988" t="str">
        <f>VLOOKUP("Dammbalken 80/200 exkl. Dichtung, gesägt und entgratet",Sprachindex!$A:$Z,Haftungsausschluß!$O$6,FALSE) &amp; " (" &amp; ROUNDUP(C91/1000*7.78,2) &amp; " " &amp; VLOOKUP("kg/Stk",Sprachindex!$A:$Z,Haftungsausschluß!$O$6,FALSE) &amp; ")" &amp; IF('Kalkulation 1'!$AH$33," " &amp; 'Kalkulation 1'!$R$9,"")</f>
        <v>Dammbalken 80/200 exkl. Dichtung, gesägt und entgratet (0 kg/Stk)</v>
      </c>
      <c r="H91" s="989"/>
      <c r="I91" s="989"/>
      <c r="J91" s="989"/>
      <c r="K91" s="989"/>
      <c r="L91" s="989"/>
      <c r="M91" s="990"/>
      <c r="N91" s="313"/>
      <c r="O91" s="426">
        <f t="shared" si="3"/>
        <v>0</v>
      </c>
    </row>
    <row r="92" spans="2:16" ht="32.1" hidden="1" customHeight="1">
      <c r="B92" s="420"/>
      <c r="C92" s="312">
        <v>0</v>
      </c>
      <c r="D92" s="317">
        <f t="shared" si="2"/>
        <v>0</v>
      </c>
      <c r="E92" s="318" t="str">
        <f>VLOOKUP("[m]",Sprachindex!$A:$Z,Haftungsausschluß!$O$6,FALSE)</f>
        <v>[m]</v>
      </c>
      <c r="F92" s="318" t="str">
        <f>IF($L$14=1,Preisliste!$E$16,Preisliste!$F$16)</f>
        <v>H801001</v>
      </c>
      <c r="G92" s="988" t="str">
        <f>VLOOKUP("Dammbalken 80/200 exkl. Dichtung, gesägt und entgratet",Sprachindex!$A:$Z,Haftungsausschluß!$O$6,FALSE) &amp; " (" &amp; ROUNDUP(C92/1000*7.78,2) &amp; " " &amp; VLOOKUP("kg/Stk",Sprachindex!$A:$Z,Haftungsausschluß!$O$6,FALSE) &amp; ")" &amp; IF('Kalkulation 1'!$AH$33," " &amp; 'Kalkulation 1'!$R$9,"")</f>
        <v>Dammbalken 80/200 exkl. Dichtung, gesägt und entgratet (0 kg/Stk)</v>
      </c>
      <c r="H92" s="989"/>
      <c r="I92" s="989"/>
      <c r="J92" s="989"/>
      <c r="K92" s="989"/>
      <c r="L92" s="989"/>
      <c r="M92" s="990"/>
      <c r="N92" s="313"/>
      <c r="O92" s="426">
        <f t="shared" si="3"/>
        <v>0</v>
      </c>
    </row>
    <row r="93" spans="2:16" ht="32.1" hidden="1" customHeight="1">
      <c r="B93" s="420"/>
      <c r="C93" s="312">
        <v>0</v>
      </c>
      <c r="D93" s="317">
        <f t="shared" si="2"/>
        <v>0</v>
      </c>
      <c r="E93" s="318" t="str">
        <f>VLOOKUP("[m]",Sprachindex!$A:$Z,Haftungsausschluß!$O$6,FALSE)</f>
        <v>[m]</v>
      </c>
      <c r="F93" s="318" t="str">
        <f>IF($L$14=1,Preisliste!$E$16,Preisliste!$F$16)</f>
        <v>H801001</v>
      </c>
      <c r="G93" s="988" t="str">
        <f>VLOOKUP("Dammbalken 80/200 exkl. Dichtung, gesägt und entgratet",Sprachindex!$A:$Z,Haftungsausschluß!$O$6,FALSE) &amp; " (" &amp; ROUNDUP(C93/1000*7.78,2) &amp; " " &amp; VLOOKUP("kg/Stk",Sprachindex!$A:$Z,Haftungsausschluß!$O$6,FALSE) &amp; ")" &amp; IF('Kalkulation 1'!$AH$33," " &amp; 'Kalkulation 1'!$R$9,"")</f>
        <v>Dammbalken 80/200 exkl. Dichtung, gesägt und entgratet (0 kg/Stk)</v>
      </c>
      <c r="H93" s="989"/>
      <c r="I93" s="989"/>
      <c r="J93" s="989"/>
      <c r="K93" s="989"/>
      <c r="L93" s="989"/>
      <c r="M93" s="990"/>
      <c r="N93" s="313"/>
      <c r="O93" s="426">
        <f t="shared" si="3"/>
        <v>0</v>
      </c>
    </row>
    <row r="94" spans="2:16" ht="32.1" hidden="1" customHeight="1">
      <c r="B94" s="420"/>
      <c r="C94" s="312">
        <v>0</v>
      </c>
      <c r="D94" s="317">
        <f t="shared" si="2"/>
        <v>0</v>
      </c>
      <c r="E94" s="318" t="str">
        <f>VLOOKUP("[m]",Sprachindex!$A:$Z,Haftungsausschluß!$O$6,FALSE)</f>
        <v>[m]</v>
      </c>
      <c r="F94" s="318" t="str">
        <f>IF($L$14=1,Preisliste!$E$16,Preisliste!$F$16)</f>
        <v>H801001</v>
      </c>
      <c r="G94" s="988" t="str">
        <f>VLOOKUP("Dammbalken 80/200 exkl. Dichtung, gesägt und entgratet",Sprachindex!$A:$Z,Haftungsausschluß!$O$6,FALSE) &amp; " (" &amp; ROUNDUP(C94/1000*7.78,2) &amp; " " &amp; VLOOKUP("kg/Stk",Sprachindex!$A:$Z,Haftungsausschluß!$O$6,FALSE) &amp; ")" &amp; IF('Kalkulation 1'!$AH$33," " &amp; 'Kalkulation 1'!$R$9,"")</f>
        <v>Dammbalken 80/200 exkl. Dichtung, gesägt und entgratet (0 kg/Stk)</v>
      </c>
      <c r="H94" s="989"/>
      <c r="I94" s="989"/>
      <c r="J94" s="989"/>
      <c r="K94" s="989"/>
      <c r="L94" s="989"/>
      <c r="M94" s="990"/>
      <c r="N94" s="313"/>
      <c r="O94" s="426">
        <f t="shared" si="3"/>
        <v>0</v>
      </c>
    </row>
    <row r="95" spans="2:16" ht="32.1" hidden="1" customHeight="1">
      <c r="B95" s="420"/>
      <c r="C95" s="312">
        <v>0</v>
      </c>
      <c r="D95" s="317">
        <f t="shared" si="2"/>
        <v>0</v>
      </c>
      <c r="E95" s="318" t="str">
        <f>VLOOKUP("[m]",Sprachindex!$A:$Z,Haftungsausschluß!$O$6,FALSE)</f>
        <v>[m]</v>
      </c>
      <c r="F95" s="318" t="str">
        <f>IF($L$14=1,Preisliste!$E$16,Preisliste!$F$16)</f>
        <v>H801001</v>
      </c>
      <c r="G95" s="988" t="str">
        <f>VLOOKUP("Dammbalken 80/200 exkl. Dichtung, gesägt und entgratet",Sprachindex!$A:$Z,Haftungsausschluß!$O$6,FALSE) &amp; " (" &amp; ROUNDUP(C95/1000*7.78,2) &amp; " " &amp; VLOOKUP("kg/Stk",Sprachindex!$A:$Z,Haftungsausschluß!$O$6,FALSE) &amp; ")" &amp; IF('Kalkulation 1'!$AH$33," " &amp; 'Kalkulation 1'!$R$9,"")</f>
        <v>Dammbalken 80/200 exkl. Dichtung, gesägt und entgratet (0 kg/Stk)</v>
      </c>
      <c r="H95" s="989"/>
      <c r="I95" s="989"/>
      <c r="J95" s="989"/>
      <c r="K95" s="989"/>
      <c r="L95" s="989"/>
      <c r="M95" s="990"/>
      <c r="N95" s="313"/>
      <c r="O95" s="426">
        <f t="shared" si="3"/>
        <v>0</v>
      </c>
    </row>
    <row r="96" spans="2:16" ht="32.1" hidden="1" customHeight="1">
      <c r="B96" s="556"/>
      <c r="C96" s="317">
        <v>750</v>
      </c>
      <c r="D96" s="612">
        <f>B96</f>
        <v>0</v>
      </c>
      <c r="E96" s="318" t="str">
        <f>VLOOKUP("[Stk]",Sprachindex!$A:$Z,Haftungsausschluß!$O$6,FALSE)</f>
        <v>[Stk]</v>
      </c>
      <c r="F96" s="318" t="str">
        <f>IF($L$14=1,Preisliste!$E$19,Preisliste!$F$19)</f>
        <v>H251020</v>
      </c>
      <c r="G96" s="988" t="str">
        <f>VLOOKUP("U-Profil 25 exkl. Dichtung, gebohrt und entgratet",Sprachindex!$A:$Z,Haftungsausschluß!$O$6,FALSE) &amp; IF('Kalkulation 1'!$AH$34," " &amp; 'Kalkulation 1'!$R$9,"")</f>
        <v>U-Profil 25 exkl. Dichtung, gebohrt und entgratet</v>
      </c>
      <c r="H96" s="989"/>
      <c r="I96" s="989"/>
      <c r="J96" s="989"/>
      <c r="K96" s="989"/>
      <c r="L96" s="989"/>
      <c r="M96" s="990"/>
      <c r="N96" s="313"/>
      <c r="O96" s="426">
        <f t="shared" si="3"/>
        <v>0</v>
      </c>
      <c r="P96" s="430"/>
    </row>
    <row r="97" spans="2:16" ht="32.1" hidden="1" customHeight="1">
      <c r="B97" s="611"/>
      <c r="C97" s="317">
        <v>1350</v>
      </c>
      <c r="D97" s="612">
        <f t="shared" ref="D97:D156" si="4">B97</f>
        <v>0</v>
      </c>
      <c r="E97" s="318" t="str">
        <f>VLOOKUP("[Stk]",Sprachindex!$A:$Z,Haftungsausschluß!$O$6,FALSE)</f>
        <v>[Stk]</v>
      </c>
      <c r="F97" s="318" t="str">
        <f>IF($L$14=1,Preisliste!$E$20,Preisliste!$F$20)</f>
        <v>H251021</v>
      </c>
      <c r="G97" s="988" t="str">
        <f>VLOOKUP("U-Profil 25 exkl. Dichtung, gebohrt und entgratet",Sprachindex!$A:$Z,Haftungsausschluß!$O$6,FALSE) &amp; IF('Kalkulation 1'!$AH$34," " &amp; 'Kalkulation 1'!$R$9,"")</f>
        <v>U-Profil 25 exkl. Dichtung, gebohrt und entgratet</v>
      </c>
      <c r="H97" s="989"/>
      <c r="I97" s="989"/>
      <c r="J97" s="989"/>
      <c r="K97" s="989"/>
      <c r="L97" s="989"/>
      <c r="M97" s="990"/>
      <c r="N97" s="313"/>
      <c r="O97" s="426">
        <f t="shared" si="3"/>
        <v>0</v>
      </c>
      <c r="P97" s="286"/>
    </row>
    <row r="98" spans="2:16" ht="32.1" hidden="1" customHeight="1">
      <c r="B98" s="611"/>
      <c r="C98" s="317">
        <v>1520</v>
      </c>
      <c r="D98" s="612">
        <f t="shared" si="4"/>
        <v>0</v>
      </c>
      <c r="E98" s="318" t="str">
        <f>VLOOKUP("[Stk]",Sprachindex!$A:$Z,Haftungsausschluß!$O$6,FALSE)</f>
        <v>[Stk]</v>
      </c>
      <c r="F98" s="318">
        <f>IF($L$14=1,Preisliste!$E$21,Preisliste!$F$21)</f>
        <v>0</v>
      </c>
      <c r="G98" s="988" t="str">
        <f>VLOOKUP("U-Profil 25 Sonderlänge exkl. Dichtung, (Stangenware)",Sprachindex!$A:$Z,Haftungsausschluß!$O$6,FALSE)</f>
        <v>U-Profil 25 Sonderlänge exkl. Dichtung, (Stangenware)</v>
      </c>
      <c r="H98" s="989"/>
      <c r="I98" s="989"/>
      <c r="J98" s="989"/>
      <c r="K98" s="989"/>
      <c r="L98" s="989"/>
      <c r="M98" s="990"/>
      <c r="N98" s="313"/>
      <c r="O98" s="426">
        <f t="shared" si="3"/>
        <v>0</v>
      </c>
      <c r="P98" s="286"/>
    </row>
    <row r="99" spans="2:16" ht="32.1" hidden="1" customHeight="1">
      <c r="B99" s="611"/>
      <c r="C99" s="317">
        <v>750</v>
      </c>
      <c r="D99" s="612">
        <f t="shared" si="4"/>
        <v>0</v>
      </c>
      <c r="E99" s="318" t="str">
        <f>VLOOKUP("[Stk]",Sprachindex!$A:$Z,Haftungsausschluß!$O$6,FALSE)</f>
        <v>[Stk]</v>
      </c>
      <c r="F99" s="318" t="str">
        <f>IF($L$14=1,Preisliste!$E$38,Preisliste!$F$38)</f>
        <v>H251200</v>
      </c>
      <c r="G99" s="988" t="str">
        <f>VLOOKUP("Grundprofil 25 exkl. Dichtung, gebohrt und entgratet",Sprachindex!$A:$Z,Haftungsausschluß!$O$6,FALSE) &amp; IF('Kalkulation 1'!$AH$34," " &amp; 'Kalkulation 1'!$R$9,"")</f>
        <v>Grundprofil 25 exkl. Dichtung, gebohrt und entgratet</v>
      </c>
      <c r="H99" s="989"/>
      <c r="I99" s="989"/>
      <c r="J99" s="989"/>
      <c r="K99" s="989"/>
      <c r="L99" s="989"/>
      <c r="M99" s="990"/>
      <c r="N99" s="313"/>
      <c r="O99" s="426">
        <f t="shared" si="3"/>
        <v>0</v>
      </c>
      <c r="P99" s="286"/>
    </row>
    <row r="100" spans="2:16" ht="32.1" hidden="1" customHeight="1">
      <c r="B100" s="611"/>
      <c r="C100" s="317">
        <v>1350</v>
      </c>
      <c r="D100" s="612">
        <f t="shared" si="4"/>
        <v>0</v>
      </c>
      <c r="E100" s="318" t="str">
        <f>VLOOKUP("[Stk]",Sprachindex!$A:$Z,Haftungsausschluß!$O$6,FALSE)</f>
        <v>[Stk]</v>
      </c>
      <c r="F100" s="318" t="str">
        <f>IF($L$14=1,Preisliste!$E$39,Preisliste!$F$39)</f>
        <v>H251201</v>
      </c>
      <c r="G100" s="988" t="str">
        <f>VLOOKUP("Grundprofil 25 exkl. Dichtung, gebohrt und entgratet",Sprachindex!$A:$Z,Haftungsausschluß!$O$6,FALSE) &amp; IF('Kalkulation 1'!$AH$34," " &amp; 'Kalkulation 1'!$R$9,"")</f>
        <v>Grundprofil 25 exkl. Dichtung, gebohrt und entgratet</v>
      </c>
      <c r="H100" s="989"/>
      <c r="I100" s="989"/>
      <c r="J100" s="989"/>
      <c r="K100" s="989"/>
      <c r="L100" s="989"/>
      <c r="M100" s="990"/>
      <c r="N100" s="313"/>
      <c r="O100" s="426">
        <f t="shared" si="3"/>
        <v>0</v>
      </c>
      <c r="P100" s="286"/>
    </row>
    <row r="101" spans="2:16" ht="32.1" hidden="1" customHeight="1">
      <c r="B101" s="611"/>
      <c r="C101" s="317">
        <v>1720</v>
      </c>
      <c r="D101" s="612">
        <f t="shared" si="4"/>
        <v>0</v>
      </c>
      <c r="E101" s="318" t="str">
        <f>VLOOKUP("[Stk]",Sprachindex!$A:$Z,Haftungsausschluß!$O$6,FALSE)</f>
        <v>[Stk]</v>
      </c>
      <c r="F101" s="318" t="str">
        <f>IF($L$14=1,Preisliste!$E$40,Preisliste!$F$40)</f>
        <v>H251291</v>
      </c>
      <c r="G101" s="988" t="str">
        <f>VLOOKUP("Grundprofil 25 Sonderlänge exkl. Dichtung, (Stangenware)",Sprachindex!$A:$Z,Haftungsausschluß!$O$6,FALSE)</f>
        <v>Grundprofil 25 Sonderlänge exkl. Dichtung, (Stangenware)</v>
      </c>
      <c r="H101" s="989"/>
      <c r="I101" s="989"/>
      <c r="J101" s="989"/>
      <c r="K101" s="989"/>
      <c r="L101" s="989"/>
      <c r="M101" s="990"/>
      <c r="N101" s="313"/>
      <c r="O101" s="426">
        <f t="shared" si="3"/>
        <v>0</v>
      </c>
      <c r="P101" s="286"/>
    </row>
    <row r="102" spans="2:16" ht="32.1" hidden="1" customHeight="1">
      <c r="B102" s="611"/>
      <c r="C102" s="317">
        <v>750</v>
      </c>
      <c r="D102" s="612">
        <f t="shared" si="4"/>
        <v>0</v>
      </c>
      <c r="E102" s="318" t="str">
        <f>VLOOKUP("[Stk]",Sprachindex!$A:$Z,Haftungsausschluß!$O$6,FALSE)</f>
        <v>[Stk]</v>
      </c>
      <c r="F102" s="318" t="str">
        <f>IF($L$14=1,Preisliste!$E$24,Preisliste!$F$24)</f>
        <v>H501101</v>
      </c>
      <c r="G102" s="988" t="str">
        <f>VLOOKUP("U-Profil 50 exkl. Dichtung, gebohrt und entgratet",Sprachindex!$A:$Z,Haftungsausschluß!$O$6,FALSE) &amp; IF('Kalkulation 1'!$AH$34," " &amp; 'Kalkulation 1'!$R$9,"")</f>
        <v>U-Profil 50 exkl. Dichtung, gebohrt und entgratet</v>
      </c>
      <c r="H102" s="989"/>
      <c r="I102" s="989"/>
      <c r="J102" s="989"/>
      <c r="K102" s="989"/>
      <c r="L102" s="989"/>
      <c r="M102" s="990"/>
      <c r="N102" s="313"/>
      <c r="O102" s="426">
        <f t="shared" si="3"/>
        <v>0</v>
      </c>
      <c r="P102" s="286"/>
    </row>
    <row r="103" spans="2:16" ht="32.1" hidden="1" customHeight="1">
      <c r="B103" s="611"/>
      <c r="C103" s="317">
        <v>1350</v>
      </c>
      <c r="D103" s="612">
        <f t="shared" si="4"/>
        <v>0</v>
      </c>
      <c r="E103" s="318" t="str">
        <f>VLOOKUP("[Stk]",Sprachindex!$A:$Z,Haftungsausschluß!$O$6,FALSE)</f>
        <v>[Stk]</v>
      </c>
      <c r="F103" s="318" t="str">
        <f>IF($L$14=1,Preisliste!$E$25,Preisliste!$F$25)</f>
        <v>H501111</v>
      </c>
      <c r="G103" s="988" t="str">
        <f>VLOOKUP("U-Profil 50 exkl. Dichtung, gebohrt und entgratet",Sprachindex!$A:$Z,Haftungsausschluß!$O$6,FALSE) &amp; IF('Kalkulation 1'!$AH$34," " &amp; 'Kalkulation 1'!$R$9,"")</f>
        <v>U-Profil 50 exkl. Dichtung, gebohrt und entgratet</v>
      </c>
      <c r="H103" s="989"/>
      <c r="I103" s="989"/>
      <c r="J103" s="989"/>
      <c r="K103" s="989"/>
      <c r="L103" s="989"/>
      <c r="M103" s="990"/>
      <c r="N103" s="313"/>
      <c r="O103" s="426">
        <f t="shared" si="3"/>
        <v>0</v>
      </c>
      <c r="P103" s="286"/>
    </row>
    <row r="104" spans="2:16" ht="32.1" hidden="1" customHeight="1">
      <c r="B104" s="611"/>
      <c r="C104" s="317">
        <v>1750</v>
      </c>
      <c r="D104" s="612">
        <f t="shared" si="4"/>
        <v>0</v>
      </c>
      <c r="E104" s="318" t="str">
        <f>VLOOKUP("[Stk]",Sprachindex!$A:$Z,Haftungsausschluß!$O$6,FALSE)</f>
        <v>[Stk]</v>
      </c>
      <c r="F104" s="318" t="str">
        <f>IF($L$14=1,Preisliste!$E$26,Preisliste!$F$26)</f>
        <v>H501112</v>
      </c>
      <c r="G104" s="988" t="str">
        <f>VLOOKUP("U-Profil 50 exkl. Dichtung, gebohrt und entgratet",Sprachindex!$A:$Z,Haftungsausschluß!$O$6,FALSE) &amp; IF('Kalkulation 1'!$AH$34," " &amp; 'Kalkulation 1'!$R$9,"")</f>
        <v>U-Profil 50 exkl. Dichtung, gebohrt und entgratet</v>
      </c>
      <c r="H104" s="989"/>
      <c r="I104" s="989"/>
      <c r="J104" s="989"/>
      <c r="K104" s="989"/>
      <c r="L104" s="989"/>
      <c r="M104" s="990"/>
      <c r="N104" s="313"/>
      <c r="O104" s="426">
        <f t="shared" si="3"/>
        <v>0</v>
      </c>
      <c r="P104" s="286"/>
    </row>
    <row r="105" spans="2:16" ht="32.1" hidden="1" customHeight="1">
      <c r="B105" s="611"/>
      <c r="C105" s="317">
        <v>2150</v>
      </c>
      <c r="D105" s="612">
        <f t="shared" si="4"/>
        <v>0</v>
      </c>
      <c r="E105" s="318" t="str">
        <f>VLOOKUP("[Stk]",Sprachindex!$A:$Z,Haftungsausschluß!$O$6,FALSE)</f>
        <v>[Stk]</v>
      </c>
      <c r="F105" s="318" t="str">
        <f>IF($L$14=1,Preisliste!$E$27,Preisliste!$F$27)</f>
        <v>H501122</v>
      </c>
      <c r="G105" s="988" t="str">
        <f>VLOOKUP("U-Profil 50 exkl. Dichtung, gebohrt und entgratet",Sprachindex!$A:$Z,Haftungsausschluß!$O$6,FALSE) &amp; IF('Kalkulation 1'!$AH$34," " &amp; 'Kalkulation 1'!$R$9,"")</f>
        <v>U-Profil 50 exkl. Dichtung, gebohrt und entgratet</v>
      </c>
      <c r="H105" s="989"/>
      <c r="I105" s="989"/>
      <c r="J105" s="989"/>
      <c r="K105" s="989"/>
      <c r="L105" s="989"/>
      <c r="M105" s="990"/>
      <c r="N105" s="313"/>
      <c r="O105" s="426">
        <f t="shared" si="3"/>
        <v>0</v>
      </c>
      <c r="P105" s="286"/>
    </row>
    <row r="106" spans="2:16" ht="32.1" hidden="1" customHeight="1">
      <c r="B106" s="611"/>
      <c r="C106" s="317">
        <v>2320</v>
      </c>
      <c r="D106" s="612">
        <f t="shared" si="4"/>
        <v>0</v>
      </c>
      <c r="E106" s="318" t="str">
        <f>VLOOKUP("[Stk]",Sprachindex!$A:$Z,Haftungsausschluß!$O$6,FALSE)</f>
        <v>[Stk]</v>
      </c>
      <c r="F106" s="318">
        <f>IF($L$14=1,Preisliste!$E$28,Preisliste!$F$28)</f>
        <v>0</v>
      </c>
      <c r="G106" s="988" t="str">
        <f>VLOOKUP("U-Profil 50 Sonderlänge exkl. Dichtung, (Stangenware)",Sprachindex!$A:$Z,Haftungsausschluß!$O$6,FALSE)</f>
        <v>U-Profil 50 Sonderlänge exkl. Dichtung, (Stangenware)</v>
      </c>
      <c r="H106" s="989"/>
      <c r="I106" s="989"/>
      <c r="J106" s="989"/>
      <c r="K106" s="989"/>
      <c r="L106" s="989"/>
      <c r="M106" s="990"/>
      <c r="N106" s="313"/>
      <c r="O106" s="426">
        <f t="shared" si="3"/>
        <v>0</v>
      </c>
      <c r="P106" s="286"/>
    </row>
    <row r="107" spans="2:16" ht="32.1" hidden="1" customHeight="1">
      <c r="B107" s="611"/>
      <c r="C107" s="317">
        <v>750</v>
      </c>
      <c r="D107" s="612">
        <f t="shared" si="4"/>
        <v>0</v>
      </c>
      <c r="E107" s="318" t="str">
        <f>VLOOKUP("[Stk]",Sprachindex!$A:$Z,Haftungsausschluß!$O$6,FALSE)</f>
        <v>[Stk]</v>
      </c>
      <c r="F107" s="318" t="str">
        <f>IF($L$14=1,Preisliste!$E$31,Preisliste!$F$31)</f>
        <v>H801101</v>
      </c>
      <c r="G107" s="988" t="str">
        <f>VLOOKUP("U-Profil 80 exkl. Dichtung, gebohrt und entgratet",Sprachindex!$A:$Z,Haftungsausschluß!$O$6,FALSE) &amp; IF('Kalkulation 1'!$AH$34," " &amp; 'Kalkulation 1'!$R$9,"")</f>
        <v>U-Profil 80 exkl. Dichtung, gebohrt und entgratet</v>
      </c>
      <c r="H107" s="989"/>
      <c r="I107" s="989"/>
      <c r="J107" s="989"/>
      <c r="K107" s="989"/>
      <c r="L107" s="989"/>
      <c r="M107" s="990"/>
      <c r="N107" s="313"/>
      <c r="O107" s="426">
        <f t="shared" si="3"/>
        <v>0</v>
      </c>
      <c r="P107" s="286"/>
    </row>
    <row r="108" spans="2:16" ht="32.1" hidden="1" customHeight="1">
      <c r="B108" s="611"/>
      <c r="C108" s="317">
        <v>1350</v>
      </c>
      <c r="D108" s="612">
        <f t="shared" si="4"/>
        <v>0</v>
      </c>
      <c r="E108" s="318" t="str">
        <f>VLOOKUP("[Stk]",Sprachindex!$A:$Z,Haftungsausschluß!$O$6,FALSE)</f>
        <v>[Stk]</v>
      </c>
      <c r="F108" s="318" t="str">
        <f>IF($L$14=1,Preisliste!$E$32,Preisliste!$F$32)</f>
        <v>H801111</v>
      </c>
      <c r="G108" s="988" t="str">
        <f>VLOOKUP("U-Profil 80 exkl. Dichtung, gebohrt und entgratet",Sprachindex!$A:$Z,Haftungsausschluß!$O$6,FALSE) &amp; IF('Kalkulation 1'!$AH$34," " &amp; 'Kalkulation 1'!$R$9,"")</f>
        <v>U-Profil 80 exkl. Dichtung, gebohrt und entgratet</v>
      </c>
      <c r="H108" s="989"/>
      <c r="I108" s="989"/>
      <c r="J108" s="989"/>
      <c r="K108" s="989"/>
      <c r="L108" s="989"/>
      <c r="M108" s="990"/>
      <c r="N108" s="553"/>
      <c r="O108" s="554">
        <f t="shared" si="3"/>
        <v>0</v>
      </c>
      <c r="P108" s="286"/>
    </row>
    <row r="109" spans="2:16" ht="32.1" hidden="1" customHeight="1">
      <c r="B109" s="611"/>
      <c r="C109" s="317">
        <v>1750</v>
      </c>
      <c r="D109" s="612">
        <f t="shared" si="4"/>
        <v>0</v>
      </c>
      <c r="E109" s="318" t="str">
        <f>VLOOKUP("[Stk]",Sprachindex!$A:$Z,Haftungsausschluß!$O$6,FALSE)</f>
        <v>[Stk]</v>
      </c>
      <c r="F109" s="318" t="str">
        <f>IF($L$14=1,Preisliste!$E$33,Preisliste!$F$33)</f>
        <v>H801112</v>
      </c>
      <c r="G109" s="988" t="str">
        <f>VLOOKUP("U-Profil 80 exkl. Dichtung, gebohrt und entgratet",Sprachindex!$A:$Z,Haftungsausschluß!$O$6,FALSE) &amp; IF('Kalkulation 1'!$AH$34," " &amp; 'Kalkulation 1'!$R$9,"")</f>
        <v>U-Profil 80 exkl. Dichtung, gebohrt und entgratet</v>
      </c>
      <c r="H109" s="989"/>
      <c r="I109" s="989"/>
      <c r="J109" s="989"/>
      <c r="K109" s="989"/>
      <c r="L109" s="989"/>
      <c r="M109" s="990"/>
      <c r="N109" s="313"/>
      <c r="O109" s="426">
        <f t="shared" si="3"/>
        <v>0</v>
      </c>
      <c r="P109" s="286"/>
    </row>
    <row r="110" spans="2:16" ht="32.1" hidden="1" customHeight="1">
      <c r="B110" s="611"/>
      <c r="C110" s="317">
        <v>2150</v>
      </c>
      <c r="D110" s="612">
        <f t="shared" si="4"/>
        <v>0</v>
      </c>
      <c r="E110" s="318" t="str">
        <f>VLOOKUP("[Stk]",Sprachindex!$A:$Z,Haftungsausschluß!$O$6,FALSE)</f>
        <v>[Stk]</v>
      </c>
      <c r="F110" s="318" t="str">
        <f>IF($L$14=1,Preisliste!$E$34,Preisliste!$F$34)</f>
        <v>H801122</v>
      </c>
      <c r="G110" s="988" t="str">
        <f>VLOOKUP("U-Profil 80 exkl. Dichtung, gebohrt und entgratet",Sprachindex!$A:$Z,Haftungsausschluß!$O$6,FALSE) &amp; IF('Kalkulation 1'!$AH$34," " &amp; 'Kalkulation 1'!$R$9,"")</f>
        <v>U-Profil 80 exkl. Dichtung, gebohrt und entgratet</v>
      </c>
      <c r="H110" s="989"/>
      <c r="I110" s="989"/>
      <c r="J110" s="989"/>
      <c r="K110" s="989"/>
      <c r="L110" s="989"/>
      <c r="M110" s="990"/>
      <c r="N110" s="313"/>
      <c r="O110" s="426">
        <f t="shared" si="3"/>
        <v>0</v>
      </c>
      <c r="P110" s="286"/>
    </row>
    <row r="111" spans="2:16" ht="32.1" hidden="1" customHeight="1">
      <c r="B111" s="611"/>
      <c r="C111" s="317">
        <v>2320</v>
      </c>
      <c r="D111" s="612">
        <f t="shared" si="4"/>
        <v>0</v>
      </c>
      <c r="E111" s="318" t="str">
        <f>VLOOKUP("[Stk]",Sprachindex!$A:$Z,Haftungsausschluß!$O$6,FALSE)</f>
        <v>[Stk]</v>
      </c>
      <c r="F111" s="318">
        <f>IF($L$14=1,Preisliste!$E$35,Preisliste!$F$35)</f>
        <v>0</v>
      </c>
      <c r="G111" s="988" t="str">
        <f>VLOOKUP("U-Profil 80 Sonderlänge exkl. Dichtung, (Stangenware)",Sprachindex!$A:$Z,Haftungsausschluß!$O$6,FALSE)</f>
        <v>U-Profil 80 Sonderlänge exkl. Dichtung, (Stangenware)</v>
      </c>
      <c r="H111" s="989"/>
      <c r="I111" s="989"/>
      <c r="J111" s="989"/>
      <c r="K111" s="989"/>
      <c r="L111" s="989"/>
      <c r="M111" s="990"/>
      <c r="N111" s="313"/>
      <c r="O111" s="426">
        <f t="shared" si="3"/>
        <v>0</v>
      </c>
      <c r="P111" s="286"/>
    </row>
    <row r="112" spans="2:16" ht="32.1" hidden="1" customHeight="1">
      <c r="B112" s="611"/>
      <c r="C112" s="317">
        <v>750</v>
      </c>
      <c r="D112" s="612">
        <f t="shared" si="4"/>
        <v>0</v>
      </c>
      <c r="E112" s="318" t="str">
        <f>VLOOKUP("[Stk]",Sprachindex!$A:$Z,Haftungsausschluß!$O$6,FALSE)</f>
        <v>[Stk]</v>
      </c>
      <c r="F112" s="318" t="str">
        <f>IF($L$14=1,Preisliste!$E$42,Preisliste!$F$42)</f>
        <v>H501201</v>
      </c>
      <c r="G112" s="988" t="str">
        <f>VLOOKUP("Grundprofil 50 (H-Profil v.d.L.) exkl. Dichtung, gebohrt und entgratet",Sprachindex!$A:$Z,Haftungsausschluß!$O$6,FALSE) &amp; IF('Kalkulation 1'!$AH$34," " &amp; 'Kalkulation 1'!$R$9,"")</f>
        <v>Grundprofil 50 (H-Profil v.d.L.) exkl. Dichtung, gebohrt und entgratet</v>
      </c>
      <c r="H112" s="989"/>
      <c r="I112" s="989"/>
      <c r="J112" s="989"/>
      <c r="K112" s="989"/>
      <c r="L112" s="989"/>
      <c r="M112" s="990"/>
      <c r="N112" s="313"/>
      <c r="O112" s="426">
        <f t="shared" si="3"/>
        <v>0</v>
      </c>
      <c r="P112" s="286"/>
    </row>
    <row r="113" spans="2:16" ht="32.1" hidden="1" customHeight="1">
      <c r="B113" s="611"/>
      <c r="C113" s="317">
        <v>1350</v>
      </c>
      <c r="D113" s="612">
        <f t="shared" si="4"/>
        <v>0</v>
      </c>
      <c r="E113" s="318" t="str">
        <f>VLOOKUP("[Stk]",Sprachindex!$A:$Z,Haftungsausschluß!$O$6,FALSE)</f>
        <v>[Stk]</v>
      </c>
      <c r="F113" s="318" t="str">
        <f>IF($L$14=1,Preisliste!$E$43,Preisliste!$F$43)</f>
        <v>H501211</v>
      </c>
      <c r="G113" s="988" t="str">
        <f>VLOOKUP("Grundprofil 50 exkl. Dichtung, gebohrt und entgratet",Sprachindex!$A:$Z,Haftungsausschluß!$O$6,FALSE) &amp; IF('Kalkulation 1'!$AH$34," " &amp; 'Kalkulation 1'!$R$9,"")</f>
        <v>Grundprofil 50 exkl. Dichtung, gebohrt und entgratet</v>
      </c>
      <c r="H113" s="989"/>
      <c r="I113" s="989"/>
      <c r="J113" s="989"/>
      <c r="K113" s="989"/>
      <c r="L113" s="989"/>
      <c r="M113" s="990"/>
      <c r="N113" s="313">
        <v>142.6</v>
      </c>
      <c r="O113" s="426">
        <f t="shared" si="3"/>
        <v>0</v>
      </c>
      <c r="P113" s="286"/>
    </row>
    <row r="114" spans="2:16" ht="32.1" hidden="1" customHeight="1">
      <c r="B114" s="611"/>
      <c r="C114" s="317">
        <v>1750</v>
      </c>
      <c r="D114" s="612">
        <f t="shared" si="4"/>
        <v>0</v>
      </c>
      <c r="E114" s="318" t="str">
        <f>VLOOKUP("[Stk]",Sprachindex!$A:$Z,Haftungsausschluß!$O$6,FALSE)</f>
        <v>[Stk]</v>
      </c>
      <c r="F114" s="318" t="str">
        <f>IF($L$14=1,Preisliste!$E$44,Preisliste!$F$44)</f>
        <v>H501212</v>
      </c>
      <c r="G114" s="988" t="str">
        <f>VLOOKUP("Grundprofil 50 (H-Profil v.d.L.) exkl. Dichtung, gebohrt und entgratet",Sprachindex!$A:$Z,Haftungsausschluß!$O$6,FALSE) &amp; IF('Kalkulation 1'!$AH$34," " &amp; 'Kalkulation 1'!$R$9,"")</f>
        <v>Grundprofil 50 (H-Profil v.d.L.) exkl. Dichtung, gebohrt und entgratet</v>
      </c>
      <c r="H114" s="989"/>
      <c r="I114" s="989"/>
      <c r="J114" s="989"/>
      <c r="K114" s="989"/>
      <c r="L114" s="989"/>
      <c r="M114" s="990"/>
      <c r="N114" s="313"/>
      <c r="O114" s="426">
        <f t="shared" si="3"/>
        <v>0</v>
      </c>
      <c r="P114" s="286"/>
    </row>
    <row r="115" spans="2:16" ht="32.1" hidden="1" customHeight="1">
      <c r="B115" s="611"/>
      <c r="C115" s="317">
        <v>2150</v>
      </c>
      <c r="D115" s="612">
        <f t="shared" si="4"/>
        <v>0</v>
      </c>
      <c r="E115" s="318" t="str">
        <f>VLOOKUP("[Stk]",Sprachindex!$A:$Z,Haftungsausschluß!$O$6,FALSE)</f>
        <v>[Stk]</v>
      </c>
      <c r="F115" s="318" t="str">
        <f>IF($L$14=1,Preisliste!$E$45,Preisliste!$F$45)</f>
        <v>H501222</v>
      </c>
      <c r="G115" s="988" t="str">
        <f>VLOOKUP("Grundprofil 50 (H-Profil v.d.L.) exkl. Dichtung, gebohrt und entgratet",Sprachindex!$A:$Z,Haftungsausschluß!$O$6,FALSE) &amp; IF('Kalkulation 1'!$AH$34," " &amp; 'Kalkulation 1'!$R$9,"")</f>
        <v>Grundprofil 50 (H-Profil v.d.L.) exkl. Dichtung, gebohrt und entgratet</v>
      </c>
      <c r="H115" s="989"/>
      <c r="I115" s="989"/>
      <c r="J115" s="989"/>
      <c r="K115" s="989"/>
      <c r="L115" s="989"/>
      <c r="M115" s="990"/>
      <c r="N115" s="313"/>
      <c r="O115" s="426">
        <f t="shared" si="3"/>
        <v>0</v>
      </c>
      <c r="P115" s="286"/>
    </row>
    <row r="116" spans="2:16" ht="32.1" hidden="1" customHeight="1">
      <c r="B116" s="611"/>
      <c r="C116" s="317">
        <v>3420</v>
      </c>
      <c r="D116" s="612">
        <f t="shared" si="4"/>
        <v>0</v>
      </c>
      <c r="E116" s="318" t="str">
        <f>VLOOKUP("[Stk]",Sprachindex!$A:$Z,Haftungsausschluß!$O$6,FALSE)</f>
        <v>[Stk]</v>
      </c>
      <c r="F116" s="318">
        <f>IF($L$14=1,Preisliste!$E$46,Preisliste!$F$46)</f>
        <v>0</v>
      </c>
      <c r="G116" s="988" t="str">
        <f>VLOOKUP("Grundprofil 50 (H-Profil v.d.L.) Sonderlänge exkl. Dichtung, (Stangenware)",Sprachindex!$A:$Z,Haftungsausschluß!$O$6,FALSE)</f>
        <v>Grundprofil 50 (H-Profil v.d.L.) Sonderlänge exkl. Dichtung, (Stangenware)</v>
      </c>
      <c r="H116" s="989"/>
      <c r="I116" s="989"/>
      <c r="J116" s="989"/>
      <c r="K116" s="989"/>
      <c r="L116" s="989"/>
      <c r="M116" s="990"/>
      <c r="N116" s="313"/>
      <c r="O116" s="426">
        <f t="shared" si="3"/>
        <v>0</v>
      </c>
      <c r="P116" s="286"/>
    </row>
    <row r="117" spans="2:16" ht="32.1" hidden="1" customHeight="1">
      <c r="B117" s="611"/>
      <c r="C117" s="317">
        <v>750</v>
      </c>
      <c r="D117" s="612">
        <f t="shared" si="4"/>
        <v>0</v>
      </c>
      <c r="E117" s="318" t="str">
        <f>VLOOKUP("[Stk]",Sprachindex!$A:$Z,Haftungsausschluß!$O$6,FALSE)</f>
        <v>[Stk]</v>
      </c>
      <c r="F117" s="318" t="str">
        <f>IF($L$14=1,Preisliste!$E$49,Preisliste!$F$49)</f>
        <v>H801201</v>
      </c>
      <c r="G117" s="988" t="str">
        <f>VLOOKUP("Grundprofil 80 (H-Profil v.d.L.) exkl. Dichtung, gebohrt und entgratet",Sprachindex!$A:$Z,Haftungsausschluß!$O$6,FALSE) &amp; IF('Kalkulation 1'!$AH$34," " &amp; 'Kalkulation 1'!$R$9,"")</f>
        <v>Grundprofil 80 (H-Profil v.d.L.) exkl. Dichtung, gebohrt und entgratet</v>
      </c>
      <c r="H117" s="989"/>
      <c r="I117" s="989"/>
      <c r="J117" s="989"/>
      <c r="K117" s="989"/>
      <c r="L117" s="989"/>
      <c r="M117" s="990"/>
      <c r="N117" s="313"/>
      <c r="O117" s="426">
        <f t="shared" si="3"/>
        <v>0</v>
      </c>
      <c r="P117" s="286"/>
    </row>
    <row r="118" spans="2:16" ht="32.1" hidden="1" customHeight="1">
      <c r="B118" s="611"/>
      <c r="C118" s="317">
        <v>1350</v>
      </c>
      <c r="D118" s="612">
        <f t="shared" si="4"/>
        <v>0</v>
      </c>
      <c r="E118" s="318" t="str">
        <f>VLOOKUP("[Stk]",Sprachindex!$A:$Z,Haftungsausschluß!$O$6,FALSE)</f>
        <v>[Stk]</v>
      </c>
      <c r="F118" s="318" t="str">
        <f>IF($L$14=1,Preisliste!$E$50,Preisliste!$F$50)</f>
        <v>H801211</v>
      </c>
      <c r="G118" s="988" t="str">
        <f>VLOOKUP("Grundprofil 80 (H-Profil v.d.L.) exkl. Dichtung, gebohrt und entgratet",Sprachindex!$A:$Z,Haftungsausschluß!$O$6,FALSE) &amp; IF('Kalkulation 1'!$AH$34," " &amp; 'Kalkulation 1'!$R$9,"")</f>
        <v>Grundprofil 80 (H-Profil v.d.L.) exkl. Dichtung, gebohrt und entgratet</v>
      </c>
      <c r="H118" s="989"/>
      <c r="I118" s="989"/>
      <c r="J118" s="989"/>
      <c r="K118" s="989"/>
      <c r="L118" s="989"/>
      <c r="M118" s="990"/>
      <c r="N118" s="313"/>
      <c r="O118" s="426">
        <f t="shared" si="3"/>
        <v>0</v>
      </c>
      <c r="P118" s="286"/>
    </row>
    <row r="119" spans="2:16" ht="32.1" hidden="1" customHeight="1">
      <c r="B119" s="611"/>
      <c r="C119" s="317">
        <v>1750</v>
      </c>
      <c r="D119" s="612">
        <f t="shared" si="4"/>
        <v>0</v>
      </c>
      <c r="E119" s="318" t="str">
        <f>VLOOKUP("[Stk]",Sprachindex!$A:$Z,Haftungsausschluß!$O$6,FALSE)</f>
        <v>[Stk]</v>
      </c>
      <c r="F119" s="318" t="str">
        <f>IF($L$14=1,Preisliste!$E$51,Preisliste!$F$51)</f>
        <v>H801212</v>
      </c>
      <c r="G119" s="988" t="str">
        <f>VLOOKUP("Grundprofil 80 (H-Profil v.d.L.) exkl. Dichtung, gebohrt und entgratet",Sprachindex!$A:$Z,Haftungsausschluß!$O$6,FALSE) &amp; IF('Kalkulation 1'!$AH$34," " &amp; 'Kalkulation 1'!$R$9,"")</f>
        <v>Grundprofil 80 (H-Profil v.d.L.) exkl. Dichtung, gebohrt und entgratet</v>
      </c>
      <c r="H119" s="989"/>
      <c r="I119" s="989"/>
      <c r="J119" s="989"/>
      <c r="K119" s="989"/>
      <c r="L119" s="989"/>
      <c r="M119" s="990"/>
      <c r="N119" s="313"/>
      <c r="O119" s="426">
        <f t="shared" si="3"/>
        <v>0</v>
      </c>
      <c r="P119" s="286"/>
    </row>
    <row r="120" spans="2:16" ht="32.1" hidden="1" customHeight="1">
      <c r="B120" s="611"/>
      <c r="C120" s="317">
        <v>2150</v>
      </c>
      <c r="D120" s="612">
        <f t="shared" si="4"/>
        <v>0</v>
      </c>
      <c r="E120" s="318" t="str">
        <f>VLOOKUP("[Stk]",Sprachindex!$A:$Z,Haftungsausschluß!$O$6,FALSE)</f>
        <v>[Stk]</v>
      </c>
      <c r="F120" s="318" t="str">
        <f>IF($L$14=1,Preisliste!$E$52,Preisliste!$F$52)</f>
        <v>H801222</v>
      </c>
      <c r="G120" s="988" t="str">
        <f>VLOOKUP("Grundprofil 80 (H-Profil v.d.L.) exkl. Dichtung, gebohrt und entgratet",Sprachindex!$A:$Z,Haftungsausschluß!$O$6,FALSE) &amp; IF('Kalkulation 1'!$AH$34," " &amp; 'Kalkulation 1'!$R$9,"")</f>
        <v>Grundprofil 80 (H-Profil v.d.L.) exkl. Dichtung, gebohrt und entgratet</v>
      </c>
      <c r="H120" s="989"/>
      <c r="I120" s="989"/>
      <c r="J120" s="989"/>
      <c r="K120" s="989"/>
      <c r="L120" s="989"/>
      <c r="M120" s="990"/>
      <c r="N120" s="313"/>
      <c r="O120" s="426">
        <f t="shared" si="3"/>
        <v>0</v>
      </c>
      <c r="P120" s="286"/>
    </row>
    <row r="121" spans="2:16" ht="32.1" hidden="1" customHeight="1">
      <c r="B121" s="611"/>
      <c r="C121" s="317">
        <v>3320</v>
      </c>
      <c r="D121" s="612">
        <f t="shared" si="4"/>
        <v>0</v>
      </c>
      <c r="E121" s="318" t="str">
        <f>VLOOKUP("[Stk]",Sprachindex!$A:$Z,Haftungsausschluß!$O$6,FALSE)</f>
        <v>[Stk]</v>
      </c>
      <c r="F121" s="318">
        <f>IF($L$14=1,Preisliste!$E$53,Preisliste!$F$53)</f>
        <v>0</v>
      </c>
      <c r="G121" s="988" t="str">
        <f>VLOOKUP("Grundprofil 80 (H-Profil v.d.L.) Sonderlänge exkl. Dichtung, (Stangenware)",Sprachindex!$A:$Z,Haftungsausschluß!$O$6,FALSE)</f>
        <v>Grundprofil 80 (H-Profil v.d.L.) Sonderlänge exkl. Dichtung, (Stangenware)</v>
      </c>
      <c r="H121" s="989"/>
      <c r="I121" s="989"/>
      <c r="J121" s="989"/>
      <c r="K121" s="989"/>
      <c r="L121" s="989"/>
      <c r="M121" s="990"/>
      <c r="N121" s="313"/>
      <c r="O121" s="426">
        <f t="shared" si="3"/>
        <v>0</v>
      </c>
      <c r="P121" s="286"/>
    </row>
    <row r="122" spans="2:16" ht="32.1" hidden="1" customHeight="1">
      <c r="B122" s="611"/>
      <c r="C122" s="317">
        <v>750</v>
      </c>
      <c r="D122" s="612">
        <f t="shared" si="4"/>
        <v>0</v>
      </c>
      <c r="E122" s="318" t="str">
        <f>VLOOKUP("[Stk]",Sprachindex!$A:$Z,Haftungsausschluß!$O$6,FALSE)</f>
        <v>[Stk]</v>
      </c>
      <c r="F122" s="318" t="str">
        <f>IF($L$14=1,Preisliste!$E$56,Preisliste!$F$56)</f>
        <v>H501301</v>
      </c>
      <c r="G122" s="988" t="str">
        <f>VLOOKUP("Rundprofil 50 exkl. Dichtung, gebohrt und entgratet",Sprachindex!$A:$Z,Haftungsausschluß!$O$6,FALSE) &amp; " (7,81"  &amp; " " &amp; VLOOKUP("kg/Stk",Sprachindex!$A:$Z,Haftungsausschluß!$O$6,FALSE) &amp; ")"</f>
        <v>Rundprofil 50 exkl. Dichtung, gebohrt und entgratet (7,81 kg/Stk)</v>
      </c>
      <c r="H122" s="989"/>
      <c r="I122" s="989"/>
      <c r="J122" s="989"/>
      <c r="K122" s="989"/>
      <c r="L122" s="989"/>
      <c r="M122" s="990"/>
      <c r="N122" s="313"/>
      <c r="O122" s="426">
        <f t="shared" si="3"/>
        <v>0</v>
      </c>
      <c r="P122" s="286"/>
    </row>
    <row r="123" spans="2:16" ht="32.1" hidden="1" customHeight="1">
      <c r="B123" s="611"/>
      <c r="C123" s="317">
        <v>1350</v>
      </c>
      <c r="D123" s="612">
        <f t="shared" si="4"/>
        <v>0</v>
      </c>
      <c r="E123" s="318" t="str">
        <f>VLOOKUP("[Stk]",Sprachindex!$A:$Z,Haftungsausschluß!$O$6,FALSE)</f>
        <v>[Stk]</v>
      </c>
      <c r="F123" s="318" t="str">
        <f>IF($L$14=1,Preisliste!$E$57,Preisliste!$F$57)</f>
        <v>H501311</v>
      </c>
      <c r="G123" s="988" t="str">
        <f>VLOOKUP("Rundprofil 50 exkl. Dichtung, gebohrt und entgratet",Sprachindex!$A:$Z,Haftungsausschluß!$O$6,FALSE) &amp; " (14,05"  &amp; " " &amp; VLOOKUP("kg/Stk",Sprachindex!$A:$Z,Haftungsausschluß!$O$6,FALSE) &amp; ")"</f>
        <v>Rundprofil 50 exkl. Dichtung, gebohrt und entgratet (14,05 kg/Stk)</v>
      </c>
      <c r="H123" s="989"/>
      <c r="I123" s="989"/>
      <c r="J123" s="989"/>
      <c r="K123" s="989"/>
      <c r="L123" s="989"/>
      <c r="M123" s="990"/>
      <c r="N123" s="313"/>
      <c r="O123" s="426">
        <f t="shared" si="3"/>
        <v>0</v>
      </c>
      <c r="P123" s="286"/>
    </row>
    <row r="124" spans="2:16" ht="32.1" hidden="1" customHeight="1">
      <c r="B124" s="611"/>
      <c r="C124" s="317">
        <v>1750</v>
      </c>
      <c r="D124" s="612">
        <f t="shared" si="4"/>
        <v>0</v>
      </c>
      <c r="E124" s="318" t="str">
        <f>VLOOKUP("[Stk]",Sprachindex!$A:$Z,Haftungsausschluß!$O$6,FALSE)</f>
        <v>[Stk]</v>
      </c>
      <c r="F124" s="318" t="str">
        <f>IF($L$14=1,Preisliste!$E$58,Preisliste!$F$58)</f>
        <v>H501312</v>
      </c>
      <c r="G124" s="988" t="str">
        <f>VLOOKUP("Rundprofil 50 exkl. Dichtung, gebohrt und entgratet",Sprachindex!$A:$Z,Haftungsausschluß!$O$6,FALSE) &amp; " (18,21"  &amp; " " &amp; VLOOKUP("kg/Stk",Sprachindex!$A:$Z,Haftungsausschluß!$O$6,FALSE) &amp; ")"</f>
        <v>Rundprofil 50 exkl. Dichtung, gebohrt und entgratet (18,21 kg/Stk)</v>
      </c>
      <c r="H124" s="989"/>
      <c r="I124" s="989"/>
      <c r="J124" s="989"/>
      <c r="K124" s="989"/>
      <c r="L124" s="989"/>
      <c r="M124" s="990"/>
      <c r="N124" s="313"/>
      <c r="O124" s="426">
        <f t="shared" si="3"/>
        <v>0</v>
      </c>
      <c r="P124" s="286"/>
    </row>
    <row r="125" spans="2:16" ht="32.1" hidden="1" customHeight="1">
      <c r="B125" s="611"/>
      <c r="C125" s="317">
        <v>2150</v>
      </c>
      <c r="D125" s="612">
        <f t="shared" si="4"/>
        <v>0</v>
      </c>
      <c r="E125" s="318" t="str">
        <f>VLOOKUP("[Stk]",Sprachindex!$A:$Z,Haftungsausschluß!$O$6,FALSE)</f>
        <v>[Stk]</v>
      </c>
      <c r="F125" s="318" t="str">
        <f>IF($L$14=1,Preisliste!$E$59,Preisliste!$F$59)</f>
        <v>H501322</v>
      </c>
      <c r="G125" s="988" t="str">
        <f>VLOOKUP("Rundprofil 50 exkl. Dichtung, gebohrt und entgratet",Sprachindex!$A:$Z,Haftungsausschluß!$O$6,FALSE) &amp; " (22,37"  &amp; " " &amp; VLOOKUP("kg/Stk",Sprachindex!$A:$Z,Haftungsausschluß!$O$6,FALSE) &amp; ")"</f>
        <v>Rundprofil 50 exkl. Dichtung, gebohrt und entgratet (22,37 kg/Stk)</v>
      </c>
      <c r="H125" s="989"/>
      <c r="I125" s="989"/>
      <c r="J125" s="989"/>
      <c r="K125" s="989"/>
      <c r="L125" s="989"/>
      <c r="M125" s="990"/>
      <c r="N125" s="313"/>
      <c r="O125" s="426">
        <f t="shared" si="3"/>
        <v>0</v>
      </c>
      <c r="P125" s="286"/>
    </row>
    <row r="126" spans="2:16" ht="32.1" hidden="1" customHeight="1">
      <c r="B126" s="611"/>
      <c r="C126" s="317">
        <v>3420</v>
      </c>
      <c r="D126" s="612">
        <f t="shared" si="4"/>
        <v>0</v>
      </c>
      <c r="E126" s="318" t="str">
        <f>VLOOKUP("[Stk]",Sprachindex!$A:$Z,Haftungsausschluß!$O$6,FALSE)</f>
        <v>[Stk]</v>
      </c>
      <c r="F126" s="318">
        <f>IF($L$14=1,Preisliste!$E$60,Preisliste!$F$60)</f>
        <v>0</v>
      </c>
      <c r="G126" s="988" t="str">
        <f>VLOOKUP("Rundprofil 50 Sonderlänge exkl. Dichtung, (Stangenware)",Sprachindex!$A:$Z,Haftungsausschluß!$O$6,FALSE)</f>
        <v>Rundprofil 50 Sonderlänge exkl. Dichtung, (Stangenware)</v>
      </c>
      <c r="H126" s="989"/>
      <c r="I126" s="989"/>
      <c r="J126" s="989"/>
      <c r="K126" s="989"/>
      <c r="L126" s="989"/>
      <c r="M126" s="990"/>
      <c r="N126" s="313"/>
      <c r="O126" s="426">
        <f t="shared" si="3"/>
        <v>0</v>
      </c>
      <c r="P126" s="286"/>
    </row>
    <row r="127" spans="2:16" ht="32.1" hidden="1" customHeight="1">
      <c r="B127" s="611"/>
      <c r="C127" s="317">
        <v>750</v>
      </c>
      <c r="D127" s="612">
        <f t="shared" si="4"/>
        <v>0</v>
      </c>
      <c r="E127" s="318" t="str">
        <f>VLOOKUP("[Stk]",Sprachindex!$A:$Z,Haftungsausschluß!$O$6,FALSE)</f>
        <v>[Stk]</v>
      </c>
      <c r="F127" s="318" t="str">
        <f>IF($L$14=1,Preisliste!$E$62,Preisliste!$F$62)</f>
        <v>H801301</v>
      </c>
      <c r="G127" s="988" t="str">
        <f>VLOOKUP("Rundprofil 80 exkl. Dichtung, gebohrt und entgratet",Sprachindex!$A:$Z,Haftungsausschluß!$O$6,FALSE) &amp; " (8,45"  &amp; " " &amp; VLOOKUP("kg/Stk",Sprachindex!$A:$Z,Haftungsausschluß!$O$6,FALSE) &amp; ")"</f>
        <v>Rundprofil 80 exkl. Dichtung, gebohrt und entgratet (8,45 kg/Stk)</v>
      </c>
      <c r="H127" s="989"/>
      <c r="I127" s="989"/>
      <c r="J127" s="989"/>
      <c r="K127" s="989"/>
      <c r="L127" s="989"/>
      <c r="M127" s="990"/>
      <c r="N127" s="313"/>
      <c r="O127" s="426">
        <f t="shared" si="3"/>
        <v>0</v>
      </c>
      <c r="P127" s="286"/>
    </row>
    <row r="128" spans="2:16" ht="32.1" hidden="1" customHeight="1">
      <c r="B128" s="611"/>
      <c r="C128" s="317">
        <v>1350</v>
      </c>
      <c r="D128" s="612">
        <f t="shared" si="4"/>
        <v>0</v>
      </c>
      <c r="E128" s="318" t="str">
        <f>VLOOKUP("[Stk]",Sprachindex!$A:$Z,Haftungsausschluß!$O$6,FALSE)</f>
        <v>[Stk]</v>
      </c>
      <c r="F128" s="318" t="str">
        <f>IF($L$14=1,Preisliste!$E$63,Preisliste!$F$63)</f>
        <v>H801311</v>
      </c>
      <c r="G128" s="988" t="str">
        <f>VLOOKUP("Rundprofil 80 exkl. Dichtung, gebohrt und entgratet",Sprachindex!$A:$Z,Haftungsausschluß!$O$6,FALSE) &amp; " (15,20"  &amp; " " &amp; VLOOKUP("kg/Stk",Sprachindex!$A:$Z,Haftungsausschluß!$O$6,FALSE) &amp; ")"</f>
        <v>Rundprofil 80 exkl. Dichtung, gebohrt und entgratet (15,20 kg/Stk)</v>
      </c>
      <c r="H128" s="989"/>
      <c r="I128" s="989"/>
      <c r="J128" s="989"/>
      <c r="K128" s="989"/>
      <c r="L128" s="989"/>
      <c r="M128" s="990"/>
      <c r="N128" s="553"/>
      <c r="O128" s="554">
        <f t="shared" si="3"/>
        <v>0</v>
      </c>
      <c r="P128" s="286"/>
    </row>
    <row r="129" spans="2:16" ht="32.1" hidden="1" customHeight="1">
      <c r="B129" s="611"/>
      <c r="C129" s="317">
        <v>1750</v>
      </c>
      <c r="D129" s="612">
        <f t="shared" si="4"/>
        <v>0</v>
      </c>
      <c r="E129" s="318" t="str">
        <f>VLOOKUP("[Stk]",Sprachindex!$A:$Z,Haftungsausschluß!$O$6,FALSE)</f>
        <v>[Stk]</v>
      </c>
      <c r="F129" s="318" t="str">
        <f>IF($L$14=1,Preisliste!$E$64,Preisliste!$F$64)</f>
        <v>H801312</v>
      </c>
      <c r="G129" s="988" t="str">
        <f>VLOOKUP("Rundprofil 80 exkl. Dichtung, gebohrt und entgratet",Sprachindex!$A:$Z,Haftungsausschluß!$O$6,FALSE) &amp; " (19,71"  &amp; " " &amp; VLOOKUP("kg/Stk",Sprachindex!$A:$Z,Haftungsausschluß!$O$6,FALSE) &amp; ")"</f>
        <v>Rundprofil 80 exkl. Dichtung, gebohrt und entgratet (19,71 kg/Stk)</v>
      </c>
      <c r="H129" s="989"/>
      <c r="I129" s="989"/>
      <c r="J129" s="989"/>
      <c r="K129" s="989"/>
      <c r="L129" s="989"/>
      <c r="M129" s="990"/>
      <c r="N129" s="313"/>
      <c r="O129" s="426">
        <f t="shared" si="3"/>
        <v>0</v>
      </c>
      <c r="P129" s="286"/>
    </row>
    <row r="130" spans="2:16" ht="32.1" hidden="1" customHeight="1">
      <c r="B130" s="611"/>
      <c r="C130" s="317">
        <v>2150</v>
      </c>
      <c r="D130" s="612">
        <f t="shared" si="4"/>
        <v>0</v>
      </c>
      <c r="E130" s="318" t="str">
        <f>VLOOKUP("[Stk]",Sprachindex!$A:$Z,Haftungsausschluß!$O$6,FALSE)</f>
        <v>[Stk]</v>
      </c>
      <c r="F130" s="318" t="str">
        <f>IF($L$14=1,Preisliste!$E$65,Preisliste!$F$65)</f>
        <v>H801322</v>
      </c>
      <c r="G130" s="988" t="str">
        <f>VLOOKUP("Rundprofil 80 exkl. Dichtung, gebohrt und entgratet",Sprachindex!$A:$Z,Haftungsausschluß!$O$6,FALSE) &amp; " (24,21"  &amp; " " &amp; VLOOKUP("kg/Stk",Sprachindex!$A:$Z,Haftungsausschluß!$O$6,FALSE) &amp; ")"</f>
        <v>Rundprofil 80 exkl. Dichtung, gebohrt und entgratet (24,21 kg/Stk)</v>
      </c>
      <c r="H130" s="989"/>
      <c r="I130" s="989"/>
      <c r="J130" s="989"/>
      <c r="K130" s="989"/>
      <c r="L130" s="989"/>
      <c r="M130" s="990"/>
      <c r="N130" s="313"/>
      <c r="O130" s="426">
        <f t="shared" si="3"/>
        <v>0</v>
      </c>
      <c r="P130" s="286"/>
    </row>
    <row r="131" spans="2:16" ht="32.1" hidden="1" customHeight="1">
      <c r="B131" s="611"/>
      <c r="C131" s="317">
        <v>3320</v>
      </c>
      <c r="D131" s="612">
        <f t="shared" si="4"/>
        <v>0</v>
      </c>
      <c r="E131" s="318" t="str">
        <f>VLOOKUP("[Stk]",Sprachindex!$A:$Z,Haftungsausschluß!$O$6,FALSE)</f>
        <v>[Stk]</v>
      </c>
      <c r="F131" s="318">
        <f>IF($L$14=1,Preisliste!$E$66,Preisliste!$F$66)</f>
        <v>0</v>
      </c>
      <c r="G131" s="988" t="str">
        <f>VLOOKUP("Rundprofil 80 Sonderlänge exkl. Dichtung, (Stangenware)",Sprachindex!$A:$Z,Haftungsausschluß!$O$6,FALSE)</f>
        <v>Rundprofil 80 Sonderlänge exkl. Dichtung, (Stangenware)</v>
      </c>
      <c r="H131" s="989"/>
      <c r="I131" s="989"/>
      <c r="J131" s="989"/>
      <c r="K131" s="989"/>
      <c r="L131" s="989"/>
      <c r="M131" s="990"/>
      <c r="N131" s="313"/>
      <c r="O131" s="426">
        <f t="shared" si="3"/>
        <v>0</v>
      </c>
      <c r="P131" s="286"/>
    </row>
    <row r="132" spans="2:16" ht="32.1" hidden="1" customHeight="1">
      <c r="B132" s="611"/>
      <c r="C132" s="317">
        <v>750</v>
      </c>
      <c r="D132" s="612">
        <f t="shared" si="4"/>
        <v>0</v>
      </c>
      <c r="E132" s="318" t="str">
        <f>VLOOKUP("[Stk]",Sprachindex!$A:$Z,Haftungsausschluß!$O$6,FALSE)</f>
        <v>[Stk]</v>
      </c>
      <c r="F132" s="318" t="str">
        <f>IF($L$14=1,Preisliste!$E$68,Preisliste!$F$68)</f>
        <v>H801340</v>
      </c>
      <c r="G132" s="988" t="str">
        <f>VLOOKUP("Rundprofil 80 gr. exkl. Dichtung, gebohrt und entgratet",Sprachindex!$A:$Z,Haftungsausschluß!$O$6,FALSE) &amp; " (10,93"  &amp; " " &amp; VLOOKUP("kg/Stk",Sprachindex!$A:$Z,Haftungsausschluß!$O$6,FALSE) &amp; ")"</f>
        <v>Rundprofil 80 gr. exkl. Dichtung, gebohrt und entgratet (10,93 kg/Stk)</v>
      </c>
      <c r="H132" s="989"/>
      <c r="I132" s="989"/>
      <c r="J132" s="989"/>
      <c r="K132" s="989"/>
      <c r="L132" s="989"/>
      <c r="M132" s="990"/>
      <c r="N132" s="313"/>
      <c r="O132" s="426">
        <f t="shared" si="3"/>
        <v>0</v>
      </c>
      <c r="P132" s="286"/>
    </row>
    <row r="133" spans="2:16" ht="32.1" hidden="1" customHeight="1">
      <c r="B133" s="611"/>
      <c r="C133" s="317">
        <v>1350</v>
      </c>
      <c r="D133" s="612">
        <f t="shared" si="4"/>
        <v>0</v>
      </c>
      <c r="E133" s="318" t="str">
        <f>VLOOKUP("[Stk]",Sprachindex!$A:$Z,Haftungsausschluß!$O$6,FALSE)</f>
        <v>[Stk]</v>
      </c>
      <c r="F133" s="318" t="str">
        <f>IF($L$14=1,Preisliste!$E$69,Preisliste!$F$69)</f>
        <v>H801341</v>
      </c>
      <c r="G133" s="988" t="str">
        <f>VLOOKUP("Rundprofil 80 gr. exkl. Dichtung, gebohrt und entgratet",Sprachindex!$A:$Z,Haftungsausschluß!$O$6,FALSE) &amp; " (19,67"  &amp; " " &amp; VLOOKUP("kg/Stk",Sprachindex!$A:$Z,Haftungsausschluß!$O$6,FALSE) &amp; ")"</f>
        <v>Rundprofil 80 gr. exkl. Dichtung, gebohrt und entgratet (19,67 kg/Stk)</v>
      </c>
      <c r="H133" s="989"/>
      <c r="I133" s="989"/>
      <c r="J133" s="989"/>
      <c r="K133" s="989"/>
      <c r="L133" s="989"/>
      <c r="M133" s="990"/>
      <c r="N133" s="313"/>
      <c r="O133" s="426">
        <f t="shared" si="3"/>
        <v>0</v>
      </c>
      <c r="P133" s="286"/>
    </row>
    <row r="134" spans="2:16" ht="32.1" hidden="1" customHeight="1">
      <c r="B134" s="611"/>
      <c r="C134" s="317">
        <v>1750</v>
      </c>
      <c r="D134" s="612">
        <f t="shared" si="4"/>
        <v>0</v>
      </c>
      <c r="E134" s="318" t="str">
        <f>VLOOKUP("[Stk]",Sprachindex!$A:$Z,Haftungsausschluß!$O$6,FALSE)</f>
        <v>[Stk]</v>
      </c>
      <c r="F134" s="318" t="str">
        <f>IF($L$14=1,Preisliste!$E$70,Preisliste!$F$70)</f>
        <v>H801342</v>
      </c>
      <c r="G134" s="988" t="str">
        <f>VLOOKUP("Rundprofil 80 gr. exkl. Dichtung, gebohrt und entgratet",Sprachindex!$A:$Z,Haftungsausschluß!$O$6,FALSE) &amp; " (25,50"  &amp; " " &amp; VLOOKUP("kg/Stk",Sprachindex!$A:$Z,Haftungsausschluß!$O$6,FALSE) &amp; ")"</f>
        <v>Rundprofil 80 gr. exkl. Dichtung, gebohrt und entgratet (25,50 kg/Stk)</v>
      </c>
      <c r="H134" s="989"/>
      <c r="I134" s="989"/>
      <c r="J134" s="989"/>
      <c r="K134" s="989"/>
      <c r="L134" s="989"/>
      <c r="M134" s="990"/>
      <c r="N134" s="313"/>
      <c r="O134" s="426">
        <f t="shared" si="3"/>
        <v>0</v>
      </c>
      <c r="P134" s="286"/>
    </row>
    <row r="135" spans="2:16" ht="32.1" hidden="1" customHeight="1">
      <c r="B135" s="611"/>
      <c r="C135" s="317">
        <v>2150</v>
      </c>
      <c r="D135" s="612">
        <f t="shared" si="4"/>
        <v>0</v>
      </c>
      <c r="E135" s="318" t="str">
        <f>VLOOKUP("[Stk]",Sprachindex!$A:$Z,Haftungsausschluß!$O$6,FALSE)</f>
        <v>[Stk]</v>
      </c>
      <c r="F135" s="318" t="str">
        <f>IF($L$14=1,Preisliste!$E$71,Preisliste!$F$71)</f>
        <v>H801343</v>
      </c>
      <c r="G135" s="988" t="str">
        <f>VLOOKUP("Rundprofil 80 gr. exkl. Dichtung, gebohrt und entgratet",Sprachindex!$A:$Z,Haftungsausschluß!$O$6,FALSE) &amp; " (31,33"  &amp; " " &amp; VLOOKUP("kg/Stk",Sprachindex!$A:$Z,Haftungsausschluß!$O$6,FALSE) &amp; ")"</f>
        <v>Rundprofil 80 gr. exkl. Dichtung, gebohrt und entgratet (31,33 kg/Stk)</v>
      </c>
      <c r="H135" s="989"/>
      <c r="I135" s="989"/>
      <c r="J135" s="989"/>
      <c r="K135" s="989"/>
      <c r="L135" s="989"/>
      <c r="M135" s="990"/>
      <c r="N135" s="313"/>
      <c r="O135" s="426">
        <f t="shared" si="3"/>
        <v>0</v>
      </c>
      <c r="P135" s="286"/>
    </row>
    <row r="136" spans="2:16" ht="32.1" hidden="1" customHeight="1">
      <c r="B136" s="611"/>
      <c r="C136" s="317">
        <v>2320</v>
      </c>
      <c r="D136" s="612">
        <f t="shared" si="4"/>
        <v>0</v>
      </c>
      <c r="E136" s="318" t="str">
        <f>VLOOKUP("[Stk]",Sprachindex!$A:$Z,Haftungsausschluß!$O$6,FALSE)</f>
        <v>[Stk]</v>
      </c>
      <c r="F136" s="318">
        <f>IF($L$14=1,Preisliste!$E$72,Preisliste!$F$72)</f>
        <v>0</v>
      </c>
      <c r="G136" s="988" t="str">
        <f>VLOOKUP("Rundprofil 80 gr. Sonderlänge exkl. Dichtung, (Stangenware)",Sprachindex!$A:$Z,Haftungsausschluß!$O$6,FALSE)</f>
        <v>Rundprofil 80 gr. Sonderlänge exkl. Dichtung, (Stangenware)</v>
      </c>
      <c r="H136" s="989"/>
      <c r="I136" s="989"/>
      <c r="J136" s="989"/>
      <c r="K136" s="989"/>
      <c r="L136" s="989"/>
      <c r="M136" s="990"/>
      <c r="N136" s="313"/>
      <c r="O136" s="426">
        <f t="shared" si="3"/>
        <v>0</v>
      </c>
      <c r="P136" s="286"/>
    </row>
    <row r="137" spans="2:16" ht="32.1" hidden="1" customHeight="1">
      <c r="B137" s="611"/>
      <c r="C137" s="317">
        <v>750</v>
      </c>
      <c r="D137" s="612">
        <f t="shared" si="4"/>
        <v>0</v>
      </c>
      <c r="E137" s="318" t="str">
        <f>VLOOKUP("[Stk]",Sprachindex!$A:$Z,Haftungsausschluß!$O$6,FALSE)</f>
        <v>[Stk]</v>
      </c>
      <c r="F137" s="318" t="str">
        <f>IF($L$14=1,Preisliste!$E$74,Preisliste!$F$74)</f>
        <v>H501600</v>
      </c>
      <c r="G137" s="988" t="str">
        <f>VLOOKUP("Rundprofil 50-90° exkl. Dichtung, gebohrt und entgratet",Sprachindex!$A:$Z,Haftungsausschluß!$O$6,FALSE)</f>
        <v>Rundprofil 50-90° exkl. Dichtung, gebohrt und entgratet</v>
      </c>
      <c r="H137" s="989"/>
      <c r="I137" s="989"/>
      <c r="J137" s="989"/>
      <c r="K137" s="989"/>
      <c r="L137" s="989"/>
      <c r="M137" s="990"/>
      <c r="N137" s="313"/>
      <c r="O137" s="426">
        <f t="shared" si="3"/>
        <v>0</v>
      </c>
      <c r="P137" s="286"/>
    </row>
    <row r="138" spans="2:16" ht="32.1" hidden="1" customHeight="1">
      <c r="B138" s="611"/>
      <c r="C138" s="317">
        <v>1350</v>
      </c>
      <c r="D138" s="612">
        <f t="shared" si="4"/>
        <v>0</v>
      </c>
      <c r="E138" s="318" t="str">
        <f>VLOOKUP("[Stk]",Sprachindex!$A:$Z,Haftungsausschluß!$O$6,FALSE)</f>
        <v>[Stk]</v>
      </c>
      <c r="F138" s="318" t="str">
        <f>IF($L$14=1,Preisliste!$E$75,Preisliste!$F$75)</f>
        <v>H501601</v>
      </c>
      <c r="G138" s="988" t="str">
        <f>VLOOKUP("Rundprofil 50-90° exkl. Dichtung, gebohrt und entgratet",Sprachindex!$A:$Z,Haftungsausschluß!$O$6,FALSE)</f>
        <v>Rundprofil 50-90° exkl. Dichtung, gebohrt und entgratet</v>
      </c>
      <c r="H138" s="989"/>
      <c r="I138" s="989"/>
      <c r="J138" s="989"/>
      <c r="K138" s="989"/>
      <c r="L138" s="989"/>
      <c r="M138" s="990"/>
      <c r="N138" s="313"/>
      <c r="O138" s="426">
        <f t="shared" si="3"/>
        <v>0</v>
      </c>
      <c r="P138" s="286"/>
    </row>
    <row r="139" spans="2:16" ht="32.1" hidden="1" customHeight="1">
      <c r="B139" s="611"/>
      <c r="C139" s="317">
        <v>1750</v>
      </c>
      <c r="D139" s="612">
        <f t="shared" si="4"/>
        <v>0</v>
      </c>
      <c r="E139" s="318" t="str">
        <f>VLOOKUP("[Stk]",Sprachindex!$A:$Z,Haftungsausschluß!$O$6,FALSE)</f>
        <v>[Stk]</v>
      </c>
      <c r="F139" s="318" t="str">
        <f>IF($L$14=1,Preisliste!$E$76,Preisliste!$F$76)</f>
        <v>H501602</v>
      </c>
      <c r="G139" s="988" t="str">
        <f>VLOOKUP("Rundprofil 50-90° exkl. Dichtung, gebohrt und entgratet",Sprachindex!$A:$Z,Haftungsausschluß!$O$6,FALSE)</f>
        <v>Rundprofil 50-90° exkl. Dichtung, gebohrt und entgratet</v>
      </c>
      <c r="H139" s="989"/>
      <c r="I139" s="989"/>
      <c r="J139" s="989"/>
      <c r="K139" s="989"/>
      <c r="L139" s="989"/>
      <c r="M139" s="990"/>
      <c r="N139" s="313"/>
      <c r="O139" s="426">
        <f t="shared" si="3"/>
        <v>0</v>
      </c>
      <c r="P139" s="286"/>
    </row>
    <row r="140" spans="2:16" ht="32.1" hidden="1" customHeight="1">
      <c r="B140" s="611"/>
      <c r="C140" s="317">
        <v>2150</v>
      </c>
      <c r="D140" s="612">
        <f t="shared" si="4"/>
        <v>0</v>
      </c>
      <c r="E140" s="318" t="str">
        <f>VLOOKUP("[Stk]",Sprachindex!$A:$Z,Haftungsausschluß!$O$6,FALSE)</f>
        <v>[Stk]</v>
      </c>
      <c r="F140" s="318" t="str">
        <f>IF($L$14=1,Preisliste!$E$77,Preisliste!$F$77)</f>
        <v>H501603</v>
      </c>
      <c r="G140" s="988" t="str">
        <f>VLOOKUP("Rundprofil 50-90° exkl. Dichtung, gebohrt und entgratet",Sprachindex!$A:$Z,Haftungsausschluß!$O$6,FALSE)</f>
        <v>Rundprofil 50-90° exkl. Dichtung, gebohrt und entgratet</v>
      </c>
      <c r="H140" s="989"/>
      <c r="I140" s="989"/>
      <c r="J140" s="989"/>
      <c r="K140" s="989"/>
      <c r="L140" s="989"/>
      <c r="M140" s="990"/>
      <c r="N140" s="313"/>
      <c r="O140" s="426">
        <f t="shared" si="3"/>
        <v>0</v>
      </c>
      <c r="P140" s="286"/>
    </row>
    <row r="141" spans="2:16" ht="32.1" hidden="1" customHeight="1">
      <c r="B141" s="611"/>
      <c r="C141" s="317">
        <v>2320</v>
      </c>
      <c r="D141" s="612">
        <f t="shared" si="4"/>
        <v>0</v>
      </c>
      <c r="E141" s="318" t="str">
        <f>VLOOKUP("[Stk]",Sprachindex!$A:$Z,Haftungsausschluß!$O$6,FALSE)</f>
        <v>[Stk]</v>
      </c>
      <c r="F141" s="318">
        <f>IF($L$14=1,Preisliste!$E$78,Preisliste!$F$78)</f>
        <v>0</v>
      </c>
      <c r="G141" s="988" t="str">
        <f>VLOOKUP("Rundprofil 50-90° Sonderlänge exkl. Dichtung, (Stangenware)",Sprachindex!$A:$Z,Haftungsausschluß!$O$6,FALSE)</f>
        <v>Rundprofil 50-90° Sonderlänge exkl. Dichtung, (Stangenware)</v>
      </c>
      <c r="H141" s="989"/>
      <c r="I141" s="989"/>
      <c r="J141" s="989"/>
      <c r="K141" s="989"/>
      <c r="L141" s="989"/>
      <c r="M141" s="990"/>
      <c r="N141" s="313"/>
      <c r="O141" s="426">
        <f t="shared" si="3"/>
        <v>0</v>
      </c>
      <c r="P141" s="286"/>
    </row>
    <row r="142" spans="2:16" ht="32.1" hidden="1" customHeight="1">
      <c r="B142" s="611"/>
      <c r="C142" s="317">
        <v>750</v>
      </c>
      <c r="D142" s="612">
        <f t="shared" si="4"/>
        <v>0</v>
      </c>
      <c r="E142" s="318" t="str">
        <f>VLOOKUP("[Stk]",Sprachindex!$A:$Z,Haftungsausschluß!$O$6,FALSE)</f>
        <v>[Stk]</v>
      </c>
      <c r="F142" s="318" t="str">
        <f>IF($L$14=1,Preisliste!$E$80,Preisliste!$F$80)</f>
        <v>H801600</v>
      </c>
      <c r="G142" s="988" t="str">
        <f>VLOOKUP("Rundprofil 80-90° exkl. Dichtung, gebohrt und entgratet",Sprachindex!$A:$Z,Haftungsausschluß!$O$6,FALSE)</f>
        <v>Rundprofil 80-90° exkl. Dichtung, gebohrt und entgratet</v>
      </c>
      <c r="H142" s="989"/>
      <c r="I142" s="989"/>
      <c r="J142" s="989"/>
      <c r="K142" s="989"/>
      <c r="L142" s="989"/>
      <c r="M142" s="990"/>
      <c r="N142" s="313"/>
      <c r="O142" s="426">
        <f t="shared" si="3"/>
        <v>0</v>
      </c>
      <c r="P142" s="286"/>
    </row>
    <row r="143" spans="2:16" ht="32.1" hidden="1" customHeight="1">
      <c r="B143" s="611"/>
      <c r="C143" s="317">
        <v>1350</v>
      </c>
      <c r="D143" s="612">
        <f t="shared" si="4"/>
        <v>0</v>
      </c>
      <c r="E143" s="318" t="str">
        <f>VLOOKUP("[Stk]",Sprachindex!$A:$Z,Haftungsausschluß!$O$6,FALSE)</f>
        <v>[Stk]</v>
      </c>
      <c r="F143" s="318" t="str">
        <f>IF($L$14=1,Preisliste!$E$81,Preisliste!$F$81)</f>
        <v>H801601</v>
      </c>
      <c r="G143" s="988" t="str">
        <f>VLOOKUP("Rundprofil 80-90° exkl. Dichtung, gebohrt und entgratet",Sprachindex!$A:$Z,Haftungsausschluß!$O$6,FALSE)</f>
        <v>Rundprofil 80-90° exkl. Dichtung, gebohrt und entgratet</v>
      </c>
      <c r="H143" s="989"/>
      <c r="I143" s="989"/>
      <c r="J143" s="989"/>
      <c r="K143" s="989"/>
      <c r="L143" s="989"/>
      <c r="M143" s="990"/>
      <c r="N143" s="313"/>
      <c r="O143" s="426">
        <f t="shared" si="3"/>
        <v>0</v>
      </c>
      <c r="P143" s="286"/>
    </row>
    <row r="144" spans="2:16" ht="32.1" hidden="1" customHeight="1">
      <c r="B144" s="611"/>
      <c r="C144" s="317">
        <v>1750</v>
      </c>
      <c r="D144" s="612">
        <f t="shared" si="4"/>
        <v>0</v>
      </c>
      <c r="E144" s="318" t="str">
        <f>VLOOKUP("[Stk]",Sprachindex!$A:$Z,Haftungsausschluß!$O$6,FALSE)</f>
        <v>[Stk]</v>
      </c>
      <c r="F144" s="318" t="str">
        <f>IF($L$14=1,Preisliste!$E$82,Preisliste!$F$82)</f>
        <v>H801602</v>
      </c>
      <c r="G144" s="988" t="str">
        <f>VLOOKUP("Rundprofil 80-90° exkl. Dichtung, gebohrt und entgratet",Sprachindex!$A:$Z,Haftungsausschluß!$O$6,FALSE)</f>
        <v>Rundprofil 80-90° exkl. Dichtung, gebohrt und entgratet</v>
      </c>
      <c r="H144" s="989"/>
      <c r="I144" s="989"/>
      <c r="J144" s="989"/>
      <c r="K144" s="989"/>
      <c r="L144" s="989"/>
      <c r="M144" s="990"/>
      <c r="N144" s="313"/>
      <c r="O144" s="426">
        <f t="shared" si="3"/>
        <v>0</v>
      </c>
      <c r="P144" s="286"/>
    </row>
    <row r="145" spans="2:16" ht="32.1" hidden="1" customHeight="1">
      <c r="B145" s="611"/>
      <c r="C145" s="317">
        <v>2150</v>
      </c>
      <c r="D145" s="612">
        <f t="shared" si="4"/>
        <v>0</v>
      </c>
      <c r="E145" s="318" t="str">
        <f>VLOOKUP("[Stk]",Sprachindex!$A:$Z,Haftungsausschluß!$O$6,FALSE)</f>
        <v>[Stk]</v>
      </c>
      <c r="F145" s="318" t="str">
        <f>IF($L$14=1,Preisliste!$E$83,Preisliste!$F$83)</f>
        <v>H801603</v>
      </c>
      <c r="G145" s="988" t="str">
        <f>VLOOKUP("Rundprofil 80-90° exkl. Dichtung, gebohrt und entgratet",Sprachindex!$A:$Z,Haftungsausschluß!$O$6,FALSE)</f>
        <v>Rundprofil 80-90° exkl. Dichtung, gebohrt und entgratet</v>
      </c>
      <c r="H145" s="989"/>
      <c r="I145" s="989"/>
      <c r="J145" s="989"/>
      <c r="K145" s="989"/>
      <c r="L145" s="989"/>
      <c r="M145" s="990"/>
      <c r="N145" s="313"/>
      <c r="O145" s="426">
        <f t="shared" si="3"/>
        <v>0</v>
      </c>
      <c r="P145" s="286"/>
    </row>
    <row r="146" spans="2:16" ht="32.1" hidden="1" customHeight="1">
      <c r="B146" s="611"/>
      <c r="C146" s="317">
        <v>3320</v>
      </c>
      <c r="D146" s="612">
        <f t="shared" si="4"/>
        <v>0</v>
      </c>
      <c r="E146" s="318" t="str">
        <f>VLOOKUP("[Stk]",Sprachindex!$A:$Z,Haftungsausschluß!$O$6,FALSE)</f>
        <v>[Stk]</v>
      </c>
      <c r="F146" s="318">
        <f>IF($L$14=1,Preisliste!$E$84,Preisliste!$F$84)</f>
        <v>0</v>
      </c>
      <c r="G146" s="988" t="str">
        <f>VLOOKUP("Rundprofil 80-90° Sonderlänge exkl. Dichtung, (Stangenware)",Sprachindex!$A:$Z,Haftungsausschluß!$O$6,FALSE)</f>
        <v>Rundprofil 80-90° Sonderlänge exkl. Dichtung, (Stangenware)</v>
      </c>
      <c r="H146" s="989"/>
      <c r="I146" s="989"/>
      <c r="J146" s="989"/>
      <c r="K146" s="989"/>
      <c r="L146" s="989"/>
      <c r="M146" s="990"/>
      <c r="N146" s="313"/>
      <c r="O146" s="426">
        <f t="shared" ref="O146:O198" si="5">N146*D146</f>
        <v>0</v>
      </c>
      <c r="P146" s="286"/>
    </row>
    <row r="147" spans="2:16" ht="32.1" hidden="1" customHeight="1">
      <c r="B147" s="611"/>
      <c r="C147" s="317">
        <v>750</v>
      </c>
      <c r="D147" s="612">
        <f t="shared" si="4"/>
        <v>0</v>
      </c>
      <c r="E147" s="318" t="str">
        <f>VLOOKUP("[Stk]",Sprachindex!$A:$Z,Haftungsausschluß!$O$6,FALSE)</f>
        <v>[Stk]</v>
      </c>
      <c r="F147" s="318" t="str">
        <f>IF($L$14=1,Preisliste!$E$86,Preisliste!$F$86)</f>
        <v>H501610</v>
      </c>
      <c r="G147" s="988" t="str">
        <f>VLOOKUP("Rundprofil 50-Vario exkl. Dichtung, gebohrt und entgratet",Sprachindex!$A:$Z,Haftungsausschluß!$O$6,FALSE)</f>
        <v>Rundprofil 50-Vario exkl. Dichtung, gebohrt und entgratet</v>
      </c>
      <c r="H147" s="989"/>
      <c r="I147" s="989"/>
      <c r="J147" s="989"/>
      <c r="K147" s="989"/>
      <c r="L147" s="989"/>
      <c r="M147" s="990"/>
      <c r="N147" s="313"/>
      <c r="O147" s="426">
        <f t="shared" si="5"/>
        <v>0</v>
      </c>
      <c r="P147" s="286"/>
    </row>
    <row r="148" spans="2:16" ht="32.1" hidden="1" customHeight="1">
      <c r="B148" s="611"/>
      <c r="C148" s="317">
        <v>1350</v>
      </c>
      <c r="D148" s="612">
        <f t="shared" si="4"/>
        <v>0</v>
      </c>
      <c r="E148" s="318" t="str">
        <f>VLOOKUP("[Stk]",Sprachindex!$A:$Z,Haftungsausschluß!$O$6,FALSE)</f>
        <v>[Stk]</v>
      </c>
      <c r="F148" s="318" t="str">
        <f>IF($L$14=1,Preisliste!$E$87,Preisliste!$F$87)</f>
        <v>H501611</v>
      </c>
      <c r="G148" s="988" t="str">
        <f>VLOOKUP("Rundprofil 50-Vario exkl. Dichtung, gebohrt und entgratet",Sprachindex!$A:$Z,Haftungsausschluß!$O$6,FALSE)</f>
        <v>Rundprofil 50-Vario exkl. Dichtung, gebohrt und entgratet</v>
      </c>
      <c r="H148" s="989"/>
      <c r="I148" s="989"/>
      <c r="J148" s="989"/>
      <c r="K148" s="989"/>
      <c r="L148" s="989"/>
      <c r="M148" s="990"/>
      <c r="N148" s="313"/>
      <c r="O148" s="426">
        <f t="shared" si="5"/>
        <v>0</v>
      </c>
      <c r="P148" s="286"/>
    </row>
    <row r="149" spans="2:16" ht="32.1" hidden="1" customHeight="1">
      <c r="B149" s="611"/>
      <c r="C149" s="317">
        <v>1750</v>
      </c>
      <c r="D149" s="612">
        <f t="shared" si="4"/>
        <v>0</v>
      </c>
      <c r="E149" s="318" t="str">
        <f>VLOOKUP("[Stk]",Sprachindex!$A:$Z,Haftungsausschluß!$O$6,FALSE)</f>
        <v>[Stk]</v>
      </c>
      <c r="F149" s="318" t="str">
        <f>IF($L$14=1,Preisliste!$E$88,Preisliste!$F$88)</f>
        <v>H501612</v>
      </c>
      <c r="G149" s="988" t="str">
        <f>VLOOKUP("Rundprofil 50-Vario exkl. Dichtung, gebohrt und entgratet",Sprachindex!$A:$Z,Haftungsausschluß!$O$6,FALSE)</f>
        <v>Rundprofil 50-Vario exkl. Dichtung, gebohrt und entgratet</v>
      </c>
      <c r="H149" s="989"/>
      <c r="I149" s="989"/>
      <c r="J149" s="989"/>
      <c r="K149" s="989"/>
      <c r="L149" s="989"/>
      <c r="M149" s="990"/>
      <c r="N149" s="313"/>
      <c r="O149" s="426">
        <f t="shared" si="5"/>
        <v>0</v>
      </c>
      <c r="P149" s="286"/>
    </row>
    <row r="150" spans="2:16" ht="32.1" hidden="1" customHeight="1">
      <c r="B150" s="611"/>
      <c r="C150" s="317">
        <v>2150</v>
      </c>
      <c r="D150" s="612">
        <f t="shared" si="4"/>
        <v>0</v>
      </c>
      <c r="E150" s="318" t="str">
        <f>VLOOKUP("[Stk]",Sprachindex!$A:$Z,Haftungsausschluß!$O$6,FALSE)</f>
        <v>[Stk]</v>
      </c>
      <c r="F150" s="318" t="str">
        <f>IF($L$14=1,Preisliste!$E$89,Preisliste!$F$89)</f>
        <v>H501613</v>
      </c>
      <c r="G150" s="988" t="str">
        <f>VLOOKUP("Rundprofil 50-Vario exkl. Dichtung, gebohrt und entgratet",Sprachindex!$A:$Z,Haftungsausschluß!$O$6,FALSE)</f>
        <v>Rundprofil 50-Vario exkl. Dichtung, gebohrt und entgratet</v>
      </c>
      <c r="H150" s="989"/>
      <c r="I150" s="989"/>
      <c r="J150" s="989"/>
      <c r="K150" s="989"/>
      <c r="L150" s="989"/>
      <c r="M150" s="990"/>
      <c r="N150" s="313"/>
      <c r="O150" s="426">
        <f t="shared" si="5"/>
        <v>0</v>
      </c>
      <c r="P150" s="286"/>
    </row>
    <row r="151" spans="2:16" ht="32.1" hidden="1" customHeight="1">
      <c r="B151" s="611"/>
      <c r="C151" s="317">
        <v>3420</v>
      </c>
      <c r="D151" s="612">
        <f t="shared" si="4"/>
        <v>0</v>
      </c>
      <c r="E151" s="318" t="str">
        <f>VLOOKUP("[Stk]",Sprachindex!$A:$Z,Haftungsausschluß!$O$6,FALSE)</f>
        <v>[Stk]</v>
      </c>
      <c r="F151" s="318">
        <f>IF($L$14=1,Preisliste!$E$90,Preisliste!$F$90)</f>
        <v>0</v>
      </c>
      <c r="G151" s="988" t="str">
        <f>VLOOKUP("Rundprofil 50-Vario Sonderlänge exkl. Dichtung, (Stangenware)",Sprachindex!$A:$Z,Haftungsausschluß!$O$6,FALSE)</f>
        <v>Rundprofil 50-Vario Sonderlänge exkl. Dichtung, (Stangenware)</v>
      </c>
      <c r="H151" s="989"/>
      <c r="I151" s="989"/>
      <c r="J151" s="989"/>
      <c r="K151" s="989"/>
      <c r="L151" s="989"/>
      <c r="M151" s="990"/>
      <c r="N151" s="313"/>
      <c r="O151" s="426">
        <f t="shared" si="5"/>
        <v>0</v>
      </c>
      <c r="P151" s="286"/>
    </row>
    <row r="152" spans="2:16" ht="32.1" hidden="1" customHeight="1">
      <c r="B152" s="611"/>
      <c r="C152" s="317">
        <v>750</v>
      </c>
      <c r="D152" s="612">
        <f t="shared" si="4"/>
        <v>0</v>
      </c>
      <c r="E152" s="318" t="str">
        <f>VLOOKUP("[Stk]",Sprachindex!$A:$Z,Haftungsausschluß!$O$6,FALSE)</f>
        <v>[Stk]</v>
      </c>
      <c r="F152" s="318" t="str">
        <f>IF($L$14=1,Preisliste!$E$92,Preisliste!$F$92)</f>
        <v>H801610</v>
      </c>
      <c r="G152" s="988" t="str">
        <f>VLOOKUP("Rundprofil 80-Vario exkl. Dichtung, gebohrt und entgratet",Sprachindex!$A:$Z,Haftungsausschluß!$O$6,FALSE)</f>
        <v>Rundprofil 80-Vario exkl. Dichtung, gebohrt und entgratet</v>
      </c>
      <c r="H152" s="989"/>
      <c r="I152" s="989"/>
      <c r="J152" s="989"/>
      <c r="K152" s="989"/>
      <c r="L152" s="989"/>
      <c r="M152" s="990"/>
      <c r="N152" s="313"/>
      <c r="O152" s="426">
        <f t="shared" si="5"/>
        <v>0</v>
      </c>
      <c r="P152" s="286"/>
    </row>
    <row r="153" spans="2:16" ht="32.1" hidden="1" customHeight="1">
      <c r="B153" s="611"/>
      <c r="C153" s="317">
        <v>1350</v>
      </c>
      <c r="D153" s="612">
        <f t="shared" si="4"/>
        <v>0</v>
      </c>
      <c r="E153" s="318" t="str">
        <f>VLOOKUP("[Stk]",Sprachindex!$A:$Z,Haftungsausschluß!$O$6,FALSE)</f>
        <v>[Stk]</v>
      </c>
      <c r="F153" s="318" t="str">
        <f>IF($L$14=1,Preisliste!$E$93,Preisliste!$F$93)</f>
        <v>H801611</v>
      </c>
      <c r="G153" s="988" t="str">
        <f>VLOOKUP("Rundprofil 80-Vario exkl. Dichtung, gebohrt und entgratet",Sprachindex!$A:$Z,Haftungsausschluß!$O$6,FALSE)</f>
        <v>Rundprofil 80-Vario exkl. Dichtung, gebohrt und entgratet</v>
      </c>
      <c r="H153" s="989"/>
      <c r="I153" s="989"/>
      <c r="J153" s="989"/>
      <c r="K153" s="989"/>
      <c r="L153" s="989"/>
      <c r="M153" s="990"/>
      <c r="N153" s="313"/>
      <c r="O153" s="426">
        <f t="shared" si="5"/>
        <v>0</v>
      </c>
      <c r="P153" s="286"/>
    </row>
    <row r="154" spans="2:16" ht="32.1" hidden="1" customHeight="1">
      <c r="B154" s="611"/>
      <c r="C154" s="317">
        <v>1750</v>
      </c>
      <c r="D154" s="612">
        <f t="shared" si="4"/>
        <v>0</v>
      </c>
      <c r="E154" s="318" t="str">
        <f>VLOOKUP("[Stk]",Sprachindex!$A:$Z,Haftungsausschluß!$O$6,FALSE)</f>
        <v>[Stk]</v>
      </c>
      <c r="F154" s="318" t="str">
        <f>IF($L$14=1,Preisliste!$E$94,Preisliste!$F$94)</f>
        <v>H801612</v>
      </c>
      <c r="G154" s="988" t="str">
        <f>VLOOKUP("Rundprofil 80-Vario exkl. Dichtung, gebohrt und entgratet",Sprachindex!$A:$Z,Haftungsausschluß!$O$6,FALSE)</f>
        <v>Rundprofil 80-Vario exkl. Dichtung, gebohrt und entgratet</v>
      </c>
      <c r="H154" s="989"/>
      <c r="I154" s="989"/>
      <c r="J154" s="989"/>
      <c r="K154" s="989"/>
      <c r="L154" s="989"/>
      <c r="M154" s="990"/>
      <c r="N154" s="313"/>
      <c r="O154" s="426">
        <f t="shared" si="5"/>
        <v>0</v>
      </c>
      <c r="P154" s="286"/>
    </row>
    <row r="155" spans="2:16" ht="32.1" hidden="1" customHeight="1">
      <c r="B155" s="611"/>
      <c r="C155" s="317">
        <v>2150</v>
      </c>
      <c r="D155" s="612">
        <f t="shared" si="4"/>
        <v>0</v>
      </c>
      <c r="E155" s="318" t="str">
        <f>VLOOKUP("[Stk]",Sprachindex!$A:$Z,Haftungsausschluß!$O$6,FALSE)</f>
        <v>[Stk]</v>
      </c>
      <c r="F155" s="318" t="str">
        <f>IF($L$14=1,Preisliste!$E$95,Preisliste!$F$95)</f>
        <v>H801613</v>
      </c>
      <c r="G155" s="988" t="str">
        <f>VLOOKUP("Rundprofil 80-Vario exkl. Dichtung, gebohrt und entgratet",Sprachindex!$A:$Z,Haftungsausschluß!$O$6,FALSE)</f>
        <v>Rundprofil 80-Vario exkl. Dichtung, gebohrt und entgratet</v>
      </c>
      <c r="H155" s="989"/>
      <c r="I155" s="989"/>
      <c r="J155" s="989"/>
      <c r="K155" s="989"/>
      <c r="L155" s="989"/>
      <c r="M155" s="990"/>
      <c r="N155" s="313"/>
      <c r="O155" s="426">
        <f t="shared" si="5"/>
        <v>0</v>
      </c>
      <c r="P155" s="286"/>
    </row>
    <row r="156" spans="2:16" ht="32.1" hidden="1" customHeight="1">
      <c r="B156" s="611"/>
      <c r="C156" s="317">
        <v>3320</v>
      </c>
      <c r="D156" s="612">
        <f t="shared" si="4"/>
        <v>0</v>
      </c>
      <c r="E156" s="318" t="str">
        <f>VLOOKUP("[Stk]",Sprachindex!$A:$Z,Haftungsausschluß!$O$6,FALSE)</f>
        <v>[Stk]</v>
      </c>
      <c r="F156" s="318">
        <f>IF($L$14=1,Preisliste!$E$96,Preisliste!$F$96)</f>
        <v>0</v>
      </c>
      <c r="G156" s="988" t="str">
        <f>VLOOKUP("Rundprofil 80-Vario Sonderlänge exkl. Dichtung, (Stangenware)",Sprachindex!$A:$Z,Haftungsausschluß!$O$6,FALSE)</f>
        <v>Rundprofil 80-Vario Sonderlänge exkl. Dichtung, (Stangenware)</v>
      </c>
      <c r="H156" s="989"/>
      <c r="I156" s="989"/>
      <c r="J156" s="989"/>
      <c r="K156" s="989"/>
      <c r="L156" s="989"/>
      <c r="M156" s="990"/>
      <c r="N156" s="313"/>
      <c r="O156" s="426">
        <f t="shared" si="5"/>
        <v>0</v>
      </c>
      <c r="P156" s="286"/>
    </row>
    <row r="157" spans="2:16" ht="32.1" hidden="1" customHeight="1">
      <c r="B157" s="611"/>
      <c r="C157" s="317"/>
      <c r="D157" s="612">
        <f>B157</f>
        <v>0</v>
      </c>
      <c r="E157" s="318" t="str">
        <f>VLOOKUP("[Stk]",Sprachindex!$A:$Z,Haftungsausschluß!$O$6,FALSE)</f>
        <v>[Stk]</v>
      </c>
      <c r="F157" s="318" t="str">
        <f>IF($L$14=1,Preisliste!$E$98,Preisliste!$F$98)</f>
        <v>H001030</v>
      </c>
      <c r="G157" s="988" t="str">
        <f>VLOOKUP("Bodenhülse 50/80 beschichtet inkl. Aluminiumdeckel und Dichtung",Sprachindex!$A:$Z,Haftungsausschluß!$O$6,FALSE)</f>
        <v>Bodenhülse 50/80 beschichtet inkl. Aluminiumdeckel und Dichtung</v>
      </c>
      <c r="H157" s="989"/>
      <c r="I157" s="989"/>
      <c r="J157" s="989"/>
      <c r="K157" s="989"/>
      <c r="L157" s="989"/>
      <c r="M157" s="990"/>
      <c r="N157" s="553"/>
      <c r="O157" s="554">
        <f t="shared" si="5"/>
        <v>0</v>
      </c>
      <c r="P157" s="286"/>
    </row>
    <row r="158" spans="2:16" ht="32.1" hidden="1" customHeight="1">
      <c r="B158" s="611"/>
      <c r="C158" s="317"/>
      <c r="D158" s="612">
        <f t="shared" ref="D158:D206" si="6">B158</f>
        <v>0</v>
      </c>
      <c r="E158" s="318" t="str">
        <f>VLOOKUP("[Stk]",Sprachindex!$A:$Z,Haftungsausschluß!$O$6,FALSE)</f>
        <v>[Stk]</v>
      </c>
      <c r="F158" s="318" t="str">
        <f>IF($L$14=1,Preisliste!$E$99,Preisliste!$F$99)</f>
        <v>H001040</v>
      </c>
      <c r="G158" s="988" t="str">
        <f>VLOOKUP("Bodenhülse 50/80 beschichtet inkl. Edelstahldeckel und Dichtung",Sprachindex!$A:$Z,Haftungsausschluß!$O$6,FALSE)</f>
        <v>Bodenhülse 50/80 beschichtet inkl. Edelstahldeckel und Dichtung</v>
      </c>
      <c r="H158" s="989"/>
      <c r="I158" s="989"/>
      <c r="J158" s="989"/>
      <c r="K158" s="989"/>
      <c r="L158" s="989"/>
      <c r="M158" s="990"/>
      <c r="N158" s="313"/>
      <c r="O158" s="426">
        <f t="shared" si="5"/>
        <v>0</v>
      </c>
      <c r="P158" s="286"/>
    </row>
    <row r="159" spans="2:16" ht="32.1" hidden="1" customHeight="1">
      <c r="B159" s="611"/>
      <c r="C159" s="317"/>
      <c r="D159" s="612">
        <f t="shared" si="6"/>
        <v>0</v>
      </c>
      <c r="E159" s="318" t="str">
        <f>VLOOKUP("[Stk]",Sprachindex!$A:$Z,Haftungsausschluß!$O$6,FALSE)</f>
        <v>[Stk]</v>
      </c>
      <c r="F159" s="318" t="str">
        <f>IF($L$14=1,Preisliste!$E$101,Preisliste!$F$101)</f>
        <v>H001031</v>
      </c>
      <c r="G159" s="988" t="str">
        <f>VLOOKUP("Bodenhülse (GROSS) 50 Vario und 80 beschichtet inkl. Aluminiumdeckel und Dichtung",Sprachindex!$A:$Z,Haftungsausschluß!$O$6,FALSE)</f>
        <v>Bodenhülse (GROSS) 50 Vario und 80 beschichtet inkl. Aluminiumdeckel und Dichtung</v>
      </c>
      <c r="H159" s="989"/>
      <c r="I159" s="989"/>
      <c r="J159" s="989"/>
      <c r="K159" s="989"/>
      <c r="L159" s="989"/>
      <c r="M159" s="990"/>
      <c r="N159" s="313"/>
      <c r="O159" s="426">
        <f t="shared" si="5"/>
        <v>0</v>
      </c>
      <c r="P159" s="286"/>
    </row>
    <row r="160" spans="2:16" ht="32.1" hidden="1" customHeight="1">
      <c r="B160" s="611"/>
      <c r="C160" s="317"/>
      <c r="D160" s="612">
        <f t="shared" si="6"/>
        <v>0</v>
      </c>
      <c r="E160" s="318" t="str">
        <f>VLOOKUP("[Stk]",Sprachindex!$A:$Z,Haftungsausschluß!$O$6,FALSE)</f>
        <v>[Stk]</v>
      </c>
      <c r="F160" s="318" t="str">
        <f>IF($L$14=1,Preisliste!$E$102,Preisliste!$F$102)</f>
        <v>H001041</v>
      </c>
      <c r="G160" s="988" t="str">
        <f>VLOOKUP("Bodenhülse (GROSS) 50 Vario und 80 beschichtet inkl. Edelstahldeckel und Dichtung",Sprachindex!$A:$Z,Haftungsausschluß!$O$6,FALSE)</f>
        <v>Bodenhülse (GROSS) 50 Vario und 80 beschichtet inkl. Edelstahldeckel und Dichtung</v>
      </c>
      <c r="H160" s="989"/>
      <c r="I160" s="989"/>
      <c r="J160" s="989"/>
      <c r="K160" s="989"/>
      <c r="L160" s="989"/>
      <c r="M160" s="990"/>
      <c r="N160" s="313"/>
      <c r="O160" s="426">
        <f t="shared" si="5"/>
        <v>0</v>
      </c>
      <c r="P160" s="286"/>
    </row>
    <row r="161" spans="2:16" ht="32.1" hidden="1" customHeight="1">
      <c r="B161" s="611"/>
      <c r="C161" s="317">
        <v>750</v>
      </c>
      <c r="D161" s="612">
        <f t="shared" si="6"/>
        <v>0</v>
      </c>
      <c r="E161" s="318" t="str">
        <f>VLOOKUP("[Stk]",Sprachindex!$A:$Z,Haftungsausschluß!$O$6,FALSE)</f>
        <v>[Stk]</v>
      </c>
      <c r="F161" s="318" t="str">
        <f>IF($L$14=1,Preisliste!$E$104,Preisliste!$F$104)</f>
        <v>H501031</v>
      </c>
      <c r="G161" s="988" t="str">
        <f>VLOOKUP("Niederhalter inkl. Spannstück, Verbundanker und Gewindestange",Sprachindex!$A:$Z,Haftungsausschluß!$O$6,FALSE)</f>
        <v>Niederhalter inkl. Spannstück, Verbundanker und Gewindestange</v>
      </c>
      <c r="H161" s="989"/>
      <c r="I161" s="989"/>
      <c r="J161" s="989"/>
      <c r="K161" s="989"/>
      <c r="L161" s="989"/>
      <c r="M161" s="990"/>
      <c r="N161" s="313"/>
      <c r="O161" s="426">
        <f t="shared" si="5"/>
        <v>0</v>
      </c>
      <c r="P161" s="286"/>
    </row>
    <row r="162" spans="2:16" ht="32.1" hidden="1" customHeight="1">
      <c r="B162" s="611"/>
      <c r="C162" s="317">
        <v>1350</v>
      </c>
      <c r="D162" s="612">
        <f t="shared" si="6"/>
        <v>0</v>
      </c>
      <c r="E162" s="318" t="str">
        <f>VLOOKUP("[Stk]",Sprachindex!$A:$Z,Haftungsausschluß!$O$6,FALSE)</f>
        <v>[Stk]</v>
      </c>
      <c r="F162" s="318" t="str">
        <f>IF($L$14=1,Preisliste!$E$105,Preisliste!$F$105)</f>
        <v>H501041</v>
      </c>
      <c r="G162" s="988" t="str">
        <f>VLOOKUP("Niederhalter inkl. Spannstück, Verbundanker und Gewindestange",Sprachindex!$A:$Z,Haftungsausschluß!$O$6,FALSE)</f>
        <v>Niederhalter inkl. Spannstück, Verbundanker und Gewindestange</v>
      </c>
      <c r="H162" s="989"/>
      <c r="I162" s="989"/>
      <c r="J162" s="989"/>
      <c r="K162" s="989"/>
      <c r="L162" s="989"/>
      <c r="M162" s="990"/>
      <c r="N162" s="313"/>
      <c r="O162" s="426">
        <f t="shared" si="5"/>
        <v>0</v>
      </c>
      <c r="P162" s="286"/>
    </row>
    <row r="163" spans="2:16" ht="32.1" hidden="1" customHeight="1">
      <c r="B163" s="611"/>
      <c r="C163" s="317">
        <v>1750</v>
      </c>
      <c r="D163" s="612">
        <f t="shared" si="6"/>
        <v>0</v>
      </c>
      <c r="E163" s="318" t="str">
        <f>VLOOKUP("[Stk]",Sprachindex!$A:$Z,Haftungsausschluß!$O$6,FALSE)</f>
        <v>[Stk]</v>
      </c>
      <c r="F163" s="318" t="str">
        <f>IF($L$14=1,Preisliste!$E$106,Preisliste!$F$106)</f>
        <v>H501042</v>
      </c>
      <c r="G163" s="988" t="str">
        <f>VLOOKUP("Niederhalter inkl. Spannstück, Verbundanker und Gewindestange",Sprachindex!$A:$Z,Haftungsausschluß!$O$6,FALSE)</f>
        <v>Niederhalter inkl. Spannstück, Verbundanker und Gewindestange</v>
      </c>
      <c r="H163" s="989"/>
      <c r="I163" s="989"/>
      <c r="J163" s="989"/>
      <c r="K163" s="989"/>
      <c r="L163" s="989"/>
      <c r="M163" s="990"/>
      <c r="N163" s="313"/>
      <c r="O163" s="426">
        <f t="shared" si="5"/>
        <v>0</v>
      </c>
      <c r="P163" s="286"/>
    </row>
    <row r="164" spans="2:16" ht="32.1" hidden="1" customHeight="1">
      <c r="B164" s="611"/>
      <c r="C164" s="317"/>
      <c r="D164" s="612">
        <f t="shared" si="6"/>
        <v>0</v>
      </c>
      <c r="E164" s="318" t="str">
        <f>VLOOKUP("[Stk]",Sprachindex!$A:$Z,Haftungsausschluß!$O$6,FALSE)</f>
        <v>[Stk]</v>
      </c>
      <c r="F164" s="318" t="str">
        <f>IF($L$14=1,Preisliste!$E$109,Preisliste!$F$109)</f>
        <v>H001071</v>
      </c>
      <c r="G164" s="988" t="str">
        <f>VLOOKUP("Spannstück mit Sterngriff",Sprachindex!$A:$Z,Haftungsausschluß!$O$6,FALSE)</f>
        <v>Spannstück mit Sterngriff</v>
      </c>
      <c r="H164" s="989"/>
      <c r="I164" s="989"/>
      <c r="J164" s="989"/>
      <c r="K164" s="989"/>
      <c r="L164" s="989"/>
      <c r="M164" s="990"/>
      <c r="N164" s="313">
        <v>65.63</v>
      </c>
      <c r="O164" s="426">
        <f t="shared" si="5"/>
        <v>0</v>
      </c>
      <c r="P164" s="430"/>
    </row>
    <row r="165" spans="2:16" ht="32.1" hidden="1" customHeight="1">
      <c r="B165" s="611"/>
      <c r="C165" s="317"/>
      <c r="D165" s="612">
        <f t="shared" si="6"/>
        <v>0</v>
      </c>
      <c r="E165" s="318" t="str">
        <f>VLOOKUP("[Stk]",Sprachindex!$A:$Z,Haftungsausschluß!$O$6,FALSE)</f>
        <v>[Stk]</v>
      </c>
      <c r="F165" s="318" t="str">
        <f>IF($L$14=1,Preisliste!$E$110,Preisliste!$F$110)</f>
        <v>H001061</v>
      </c>
      <c r="G165" s="988" t="str">
        <f>VLOOKUP("Spannstück mit 6-Kantschraube",Sprachindex!$A:$Z,Haftungsausschluß!$O$6,FALSE)</f>
        <v>Spannstück mit 6-Kantschraube</v>
      </c>
      <c r="H165" s="989"/>
      <c r="I165" s="989"/>
      <c r="J165" s="989"/>
      <c r="K165" s="989"/>
      <c r="L165" s="989"/>
      <c r="M165" s="990"/>
      <c r="N165" s="313"/>
      <c r="O165" s="426">
        <f t="shared" si="5"/>
        <v>0</v>
      </c>
      <c r="P165" s="324"/>
    </row>
    <row r="166" spans="2:16" ht="32.1" hidden="1" customHeight="1">
      <c r="B166" s="421"/>
      <c r="C166" s="317"/>
      <c r="D166" s="317">
        <f t="shared" si="6"/>
        <v>0</v>
      </c>
      <c r="E166" s="318" t="str">
        <f>VLOOKUP("[lfm]",Sprachindex!$A:$Z,Haftungsausschluß!$O$6,FALSE)</f>
        <v>[lfm]</v>
      </c>
      <c r="F166" s="318" t="str">
        <f>IF($L$14=1,Preisliste!$E$114,Preisliste!$F$114)</f>
        <v>H251900</v>
      </c>
      <c r="G166" s="988" t="str">
        <f>VLOOKUP("Bodendichtung 25",Sprachindex!$A:$Z,Haftungsausschluß!$O$6,FALSE)</f>
        <v>Bodendichtung 25</v>
      </c>
      <c r="H166" s="989"/>
      <c r="I166" s="989"/>
      <c r="J166" s="989"/>
      <c r="K166" s="989"/>
      <c r="L166" s="989"/>
      <c r="M166" s="990"/>
      <c r="N166" s="313"/>
      <c r="O166" s="426">
        <f t="shared" si="5"/>
        <v>0</v>
      </c>
      <c r="P166" s="430"/>
    </row>
    <row r="167" spans="2:16" ht="32.1" hidden="1" customHeight="1">
      <c r="B167" s="421"/>
      <c r="C167" s="317"/>
      <c r="D167" s="317">
        <f t="shared" si="6"/>
        <v>0</v>
      </c>
      <c r="E167" s="318" t="str">
        <f>VLOOKUP("[lfm]",Sprachindex!$A:$Z,Haftungsausschluß!$O$6,FALSE)</f>
        <v>[lfm]</v>
      </c>
      <c r="F167" s="318" t="str">
        <f>IF($L$14=1,Preisliste!$E$115,Preisliste!$F$115)</f>
        <v>H501901</v>
      </c>
      <c r="G167" s="988" t="str">
        <f>VLOOKUP("Bodendichtung 50",Sprachindex!$A:$Z,Haftungsausschluß!$O$6,FALSE)</f>
        <v>Bodendichtung 50</v>
      </c>
      <c r="H167" s="989"/>
      <c r="I167" s="989"/>
      <c r="J167" s="989"/>
      <c r="K167" s="989"/>
      <c r="L167" s="989"/>
      <c r="M167" s="990"/>
      <c r="N167" s="313">
        <v>18.600000000000001</v>
      </c>
      <c r="O167" s="426">
        <f t="shared" si="5"/>
        <v>0</v>
      </c>
      <c r="P167" s="286"/>
    </row>
    <row r="168" spans="2:16" ht="32.1" hidden="1" customHeight="1">
      <c r="B168" s="421"/>
      <c r="C168" s="317"/>
      <c r="D168" s="317">
        <f t="shared" si="6"/>
        <v>0</v>
      </c>
      <c r="E168" s="318" t="str">
        <f>VLOOKUP("[lfm]",Sprachindex!$A:$Z,Haftungsausschluß!$O$6,FALSE)</f>
        <v>[lfm]</v>
      </c>
      <c r="F168" s="318" t="str">
        <f>IF($L$14=1,Preisliste!$E$116,Preisliste!$F$116)</f>
        <v>H801901</v>
      </c>
      <c r="G168" s="988" t="str">
        <f>VLOOKUP("Bodendichtung 80",Sprachindex!$A:$Z,Haftungsausschluß!$O$6,FALSE)</f>
        <v>Bodendichtung 80</v>
      </c>
      <c r="H168" s="989"/>
      <c r="I168" s="989"/>
      <c r="J168" s="989"/>
      <c r="K168" s="989"/>
      <c r="L168" s="989"/>
      <c r="M168" s="990"/>
      <c r="N168" s="553"/>
      <c r="O168" s="554">
        <f t="shared" si="5"/>
        <v>0</v>
      </c>
      <c r="P168" s="286"/>
    </row>
    <row r="169" spans="2:16" ht="32.1" hidden="1" customHeight="1">
      <c r="B169" s="421"/>
      <c r="C169" s="317"/>
      <c r="D169" s="317">
        <f t="shared" si="6"/>
        <v>0</v>
      </c>
      <c r="E169" s="318" t="str">
        <f>VLOOKUP("[VPE]",Sprachindex!$A:$Z,Haftungsausschluß!$O$6,FALSE)</f>
        <v>[VPE]</v>
      </c>
      <c r="F169" s="318" t="str">
        <f>IF($L$14=1,Preisliste!$E$117,Preisliste!$F$117)</f>
        <v>H001080</v>
      </c>
      <c r="G169" s="988" t="str">
        <f>VLOOKUP("Dammbalkendichtung (50+80)",Sprachindex!$A:$Z,Haftungsausschluß!$O$6,FALSE)</f>
        <v>Dammbalkendichtung (50+80)</v>
      </c>
      <c r="H169" s="989"/>
      <c r="I169" s="989"/>
      <c r="J169" s="989"/>
      <c r="K169" s="989"/>
      <c r="L169" s="989"/>
      <c r="M169" s="990"/>
      <c r="N169" s="553">
        <v>45.86</v>
      </c>
      <c r="O169" s="554">
        <f t="shared" si="5"/>
        <v>0</v>
      </c>
      <c r="P169" s="286"/>
    </row>
    <row r="170" spans="2:16" ht="32.1" hidden="1" customHeight="1">
      <c r="B170" s="421"/>
      <c r="C170" s="317"/>
      <c r="D170" s="317">
        <f t="shared" si="6"/>
        <v>0</v>
      </c>
      <c r="E170" s="318" t="str">
        <f>VLOOKUP("[VPE]",Sprachindex!$A:$Z,Haftungsausschluß!$O$6,FALSE)</f>
        <v>[VPE]</v>
      </c>
      <c r="F170" s="318" t="str">
        <f>IF($L$14=1,Preisliste!$E$118,Preisliste!$F$118)</f>
        <v>H251901</v>
      </c>
      <c r="G170" s="988" t="str">
        <f>VLOOKUP("Dammbalkendichtung (25)",Sprachindex!$A:$Z,Haftungsausschluß!$O$6,FALSE)</f>
        <v>Dammbalkendichtung (25)</v>
      </c>
      <c r="H170" s="989"/>
      <c r="I170" s="989"/>
      <c r="J170" s="989"/>
      <c r="K170" s="989"/>
      <c r="L170" s="989"/>
      <c r="M170" s="990"/>
      <c r="N170" s="313"/>
      <c r="O170" s="426">
        <f t="shared" si="5"/>
        <v>0</v>
      </c>
      <c r="P170" s="430"/>
    </row>
    <row r="171" spans="2:16" ht="32.1" hidden="1" customHeight="1">
      <c r="B171" s="421"/>
      <c r="C171" s="317"/>
      <c r="D171" s="317">
        <f t="shared" si="6"/>
        <v>0</v>
      </c>
      <c r="E171" s="318" t="str">
        <f>VLOOKUP("[VPE]",Sprachindex!$A:$Z,Haftungsausschluß!$O$6,FALSE)</f>
        <v>[VPE]</v>
      </c>
      <c r="F171" s="318" t="str">
        <f>IF($L$14=1,Preisliste!$E$119,Preisliste!$F$119)</f>
        <v>H001090</v>
      </c>
      <c r="G171" s="988" t="str">
        <f>VLOOKUP("Grundprofildichtung",Sprachindex!$A:$Z,Haftungsausschluß!$O$6,FALSE)</f>
        <v>Grundprofildichtung</v>
      </c>
      <c r="H171" s="989"/>
      <c r="I171" s="989"/>
      <c r="J171" s="989"/>
      <c r="K171" s="989"/>
      <c r="L171" s="989"/>
      <c r="M171" s="990"/>
      <c r="N171" s="553">
        <v>41.93</v>
      </c>
      <c r="O171" s="554">
        <f t="shared" si="5"/>
        <v>0</v>
      </c>
      <c r="P171" s="430"/>
    </row>
    <row r="172" spans="2:16" ht="32.1" hidden="1" customHeight="1">
      <c r="B172" s="421"/>
      <c r="C172" s="317"/>
      <c r="D172" s="317">
        <f t="shared" si="6"/>
        <v>0</v>
      </c>
      <c r="E172" s="318" t="str">
        <f>VLOOKUP("[lfm]",Sprachindex!$A:$Z,Haftungsausschluß!$O$6,FALSE)</f>
        <v>[lfm]</v>
      </c>
      <c r="F172" s="318" t="str">
        <f>IF($L$14=1,Preisliste!$E$120,Preisliste!$F$120)</f>
        <v>H001081</v>
      </c>
      <c r="G172" s="988" t="str">
        <f>VLOOKUP("Dauerbodendichtung 50",Sprachindex!$A:$Z,Haftungsausschluß!$O$6,FALSE)</f>
        <v>Dauerbodendichtung 50</v>
      </c>
      <c r="H172" s="989"/>
      <c r="I172" s="989"/>
      <c r="J172" s="989"/>
      <c r="K172" s="989"/>
      <c r="L172" s="989"/>
      <c r="M172" s="990"/>
      <c r="N172" s="313"/>
      <c r="O172" s="426">
        <f t="shared" si="5"/>
        <v>0</v>
      </c>
      <c r="P172" s="286"/>
    </row>
    <row r="173" spans="2:16" ht="32.1" hidden="1" customHeight="1">
      <c r="B173" s="421"/>
      <c r="C173" s="317"/>
      <c r="D173" s="317">
        <f t="shared" si="6"/>
        <v>0</v>
      </c>
      <c r="E173" s="318" t="str">
        <f>VLOOKUP("[lfm]",Sprachindex!$A:$Z,Haftungsausschluß!$O$6,FALSE)</f>
        <v>[lfm]</v>
      </c>
      <c r="F173" s="318" t="str">
        <f>IF($L$14=1,Preisliste!$E$121,Preisliste!$F$121)</f>
        <v>H001082</v>
      </c>
      <c r="G173" s="988" t="str">
        <f>VLOOKUP("Dauerbodendichtung 80",Sprachindex!$A:$Z,Haftungsausschluß!$O$6,FALSE)</f>
        <v>Dauerbodendichtung 80</v>
      </c>
      <c r="H173" s="989"/>
      <c r="I173" s="989"/>
      <c r="J173" s="989"/>
      <c r="K173" s="989"/>
      <c r="L173" s="989"/>
      <c r="M173" s="990"/>
      <c r="N173" s="313"/>
      <c r="O173" s="426">
        <f t="shared" si="5"/>
        <v>0</v>
      </c>
      <c r="P173" s="286"/>
    </row>
    <row r="174" spans="2:16" ht="32.1" hidden="1" customHeight="1">
      <c r="B174" s="611"/>
      <c r="C174" s="317">
        <v>750</v>
      </c>
      <c r="D174" s="612">
        <f t="shared" si="6"/>
        <v>0</v>
      </c>
      <c r="E174" s="318" t="str">
        <f>VLOOKUP("[Stk]",Sprachindex!$A:$Z,Haftungsausschluß!$O$6,FALSE)</f>
        <v>[Stk]</v>
      </c>
      <c r="F174" s="318" t="str">
        <f>IF($L$14=1,Preisliste!$E$123,Preisliste!$F$123)</f>
        <v>H251050</v>
      </c>
      <c r="G174" s="988" t="str">
        <f>VLOOKUP("Abdeckung VO 25, entgratet",Sprachindex!$A:$Z,Haftungsausschluß!$O$6,FALSE) &amp; IF('Kalkulation 1'!$AH$35," " &amp; 'Kalkulation 1'!$R$9,"")</f>
        <v>Abdeckung VO 25, entgratet</v>
      </c>
      <c r="H174" s="989"/>
      <c r="I174" s="989"/>
      <c r="J174" s="989"/>
      <c r="K174" s="989"/>
      <c r="L174" s="989"/>
      <c r="M174" s="990"/>
      <c r="N174" s="313"/>
      <c r="O174" s="426">
        <f t="shared" si="5"/>
        <v>0</v>
      </c>
      <c r="P174" s="286"/>
    </row>
    <row r="175" spans="2:16" ht="32.1" hidden="1" customHeight="1">
      <c r="B175" s="611"/>
      <c r="C175" s="317">
        <v>1350</v>
      </c>
      <c r="D175" s="612">
        <f t="shared" si="6"/>
        <v>0</v>
      </c>
      <c r="E175" s="318" t="str">
        <f>VLOOKUP("[Stk]",Sprachindex!$A:$Z,Haftungsausschluß!$O$6,FALSE)</f>
        <v>[Stk]</v>
      </c>
      <c r="F175" s="318" t="str">
        <f>IF($L$14=1,Preisliste!$E$124,Preisliste!$F$124)</f>
        <v>H251051</v>
      </c>
      <c r="G175" s="988" t="str">
        <f>VLOOKUP("Abdeckung VO 25, entgratet",Sprachindex!$A:$Z,Haftungsausschluß!$O$6,FALSE) &amp; IF('Kalkulation 1'!$AH$35," " &amp; 'Kalkulation 1'!$R$9,"")</f>
        <v>Abdeckung VO 25, entgratet</v>
      </c>
      <c r="H175" s="989"/>
      <c r="I175" s="989"/>
      <c r="J175" s="989"/>
      <c r="K175" s="989"/>
      <c r="L175" s="989"/>
      <c r="M175" s="990"/>
      <c r="N175" s="313"/>
      <c r="O175" s="426">
        <f t="shared" si="5"/>
        <v>0</v>
      </c>
      <c r="P175" s="286"/>
    </row>
    <row r="176" spans="2:16" ht="32.1" hidden="1" customHeight="1">
      <c r="B176" s="611"/>
      <c r="C176" s="317">
        <v>750</v>
      </c>
      <c r="D176" s="612">
        <f t="shared" si="6"/>
        <v>0</v>
      </c>
      <c r="E176" s="318" t="str">
        <f>VLOOKUP("[Stk]",Sprachindex!$A:$Z,Haftungsausschluß!$O$6,FALSE)</f>
        <v>[Stk]</v>
      </c>
      <c r="F176" s="318" t="str">
        <f>IF($L$14=1,Preisliste!$E$126,Preisliste!$F$126)</f>
        <v>H501401</v>
      </c>
      <c r="G176" s="988" t="str">
        <f>VLOOKUP("Abdeckung VO 50, gebohrt und entgratet",Sprachindex!$A:$Z,Haftungsausschluß!$O$6,FALSE) &amp; IF('Kalkulation 1'!$AH$35," " &amp; 'Kalkulation 1'!$R$9,"")</f>
        <v>Abdeckung VO 50, gebohrt und entgratet</v>
      </c>
      <c r="H176" s="989"/>
      <c r="I176" s="989"/>
      <c r="J176" s="989"/>
      <c r="K176" s="989"/>
      <c r="L176" s="989"/>
      <c r="M176" s="990"/>
      <c r="N176" s="313"/>
      <c r="O176" s="426">
        <f t="shared" si="5"/>
        <v>0</v>
      </c>
      <c r="P176" s="286"/>
    </row>
    <row r="177" spans="2:16" ht="32.1" hidden="1" customHeight="1">
      <c r="B177" s="611"/>
      <c r="C177" s="317">
        <v>1350</v>
      </c>
      <c r="D177" s="612">
        <f t="shared" si="6"/>
        <v>0</v>
      </c>
      <c r="E177" s="318" t="str">
        <f>VLOOKUP("[Stk]",Sprachindex!$A:$Z,Haftungsausschluß!$O$6,FALSE)</f>
        <v>[Stk]</v>
      </c>
      <c r="F177" s="318" t="str">
        <f>IF($L$14=1,Preisliste!$E$127,Preisliste!$F$127)</f>
        <v>H501411</v>
      </c>
      <c r="G177" s="988" t="str">
        <f>VLOOKUP("Abdeckung VO 50, gebohrt und entgratet",Sprachindex!$A:$Z,Haftungsausschluß!$O$6,FALSE) &amp; IF('Kalkulation 1'!$AH$35," " &amp; 'Kalkulation 1'!$R$9,"")</f>
        <v>Abdeckung VO 50, gebohrt und entgratet</v>
      </c>
      <c r="H177" s="989"/>
      <c r="I177" s="989"/>
      <c r="J177" s="989"/>
      <c r="K177" s="989"/>
      <c r="L177" s="989"/>
      <c r="M177" s="990"/>
      <c r="N177" s="313"/>
      <c r="O177" s="426">
        <f t="shared" si="5"/>
        <v>0</v>
      </c>
      <c r="P177" s="286"/>
    </row>
    <row r="178" spans="2:16" ht="32.1" hidden="1" customHeight="1">
      <c r="B178" s="611"/>
      <c r="C178" s="317">
        <v>1750</v>
      </c>
      <c r="D178" s="612">
        <f t="shared" si="6"/>
        <v>0</v>
      </c>
      <c r="E178" s="318" t="str">
        <f>VLOOKUP("[Stk]",Sprachindex!$A:$Z,Haftungsausschluß!$O$6,FALSE)</f>
        <v>[Stk]</v>
      </c>
      <c r="F178" s="318" t="str">
        <f>IF($L$14=1,Preisliste!$E$128,Preisliste!$F$128)</f>
        <v>H501412</v>
      </c>
      <c r="G178" s="988" t="str">
        <f>VLOOKUP("Abdeckung VO 50, gebohrt und entgratet",Sprachindex!$A:$Z,Haftungsausschluß!$O$6,FALSE) &amp; IF('Kalkulation 1'!$AH$35," " &amp; 'Kalkulation 1'!$R$9,"")</f>
        <v>Abdeckung VO 50, gebohrt und entgratet</v>
      </c>
      <c r="H178" s="989"/>
      <c r="I178" s="989"/>
      <c r="J178" s="989"/>
      <c r="K178" s="989"/>
      <c r="L178" s="989"/>
      <c r="M178" s="990"/>
      <c r="N178" s="313"/>
      <c r="O178" s="426">
        <f t="shared" si="5"/>
        <v>0</v>
      </c>
      <c r="P178" s="286"/>
    </row>
    <row r="179" spans="2:16" ht="32.1" hidden="1" customHeight="1">
      <c r="B179" s="611"/>
      <c r="C179" s="317">
        <v>2150</v>
      </c>
      <c r="D179" s="612">
        <f t="shared" si="6"/>
        <v>0</v>
      </c>
      <c r="E179" s="318" t="str">
        <f>VLOOKUP("[Stk]",Sprachindex!$A:$Z,Haftungsausschluß!$O$6,FALSE)</f>
        <v>[Stk]</v>
      </c>
      <c r="F179" s="318" t="str">
        <f>IF($L$14=1,Preisliste!$E$129,Preisliste!$F$129)</f>
        <v>H501422</v>
      </c>
      <c r="G179" s="988" t="str">
        <f>VLOOKUP("Abdeckung VO 50, gebohrt und entgratet",Sprachindex!$A:$Z,Haftungsausschluß!$O$6,FALSE) &amp; IF('Kalkulation 1'!$AH$35," " &amp; 'Kalkulation 1'!$R$9,"")</f>
        <v>Abdeckung VO 50, gebohrt und entgratet</v>
      </c>
      <c r="H179" s="989"/>
      <c r="I179" s="989"/>
      <c r="J179" s="989"/>
      <c r="K179" s="989"/>
      <c r="L179" s="989"/>
      <c r="M179" s="990"/>
      <c r="N179" s="313"/>
      <c r="O179" s="426">
        <f t="shared" si="5"/>
        <v>0</v>
      </c>
      <c r="P179" s="286"/>
    </row>
    <row r="180" spans="2:16" ht="32.1" hidden="1" customHeight="1">
      <c r="B180" s="611"/>
      <c r="C180" s="317">
        <v>750</v>
      </c>
      <c r="D180" s="612">
        <f t="shared" si="6"/>
        <v>0</v>
      </c>
      <c r="E180" s="318" t="str">
        <f>VLOOKUP("[Stk]",Sprachindex!$A:$Z,Haftungsausschluß!$O$6,FALSE)</f>
        <v>[Stk]</v>
      </c>
      <c r="F180" s="318" t="str">
        <f>IF($L$14=1,Preisliste!$E$141,Preisliste!$F$141)</f>
        <v>H801401</v>
      </c>
      <c r="G180" s="988" t="str">
        <f>VLOOKUP("Abdeckung VO 80, gebohrt und entgratet",Sprachindex!$A:$Z,Haftungsausschluß!$O$6,FALSE) &amp; IF('Kalkulation 1'!$AH$35," " &amp; 'Kalkulation 1'!$R$9,"")</f>
        <v>Abdeckung VO 80, gebohrt und entgratet</v>
      </c>
      <c r="H180" s="989"/>
      <c r="I180" s="989"/>
      <c r="J180" s="989"/>
      <c r="K180" s="989"/>
      <c r="L180" s="989"/>
      <c r="M180" s="990"/>
      <c r="N180" s="313"/>
      <c r="O180" s="426">
        <f t="shared" si="5"/>
        <v>0</v>
      </c>
      <c r="P180" s="286"/>
    </row>
    <row r="181" spans="2:16" ht="32.1" hidden="1" customHeight="1">
      <c r="B181" s="611"/>
      <c r="C181" s="317">
        <v>1350</v>
      </c>
      <c r="D181" s="612">
        <f t="shared" si="6"/>
        <v>0</v>
      </c>
      <c r="E181" s="318" t="str">
        <f>VLOOKUP("[Stk]",Sprachindex!$A:$Z,Haftungsausschluß!$O$6,FALSE)</f>
        <v>[Stk]</v>
      </c>
      <c r="F181" s="318" t="str">
        <f>IF($L$14=1,Preisliste!$E$142,Preisliste!$F$142)</f>
        <v>H801411</v>
      </c>
      <c r="G181" s="988" t="str">
        <f>VLOOKUP("Abdeckung VO 80, gebohrt und entgratet",Sprachindex!$A:$Z,Haftungsausschluß!$O$6,FALSE) &amp; IF('Kalkulation 1'!$AH$35," " &amp; 'Kalkulation 1'!$R$9,"")</f>
        <v>Abdeckung VO 80, gebohrt und entgratet</v>
      </c>
      <c r="H181" s="989"/>
      <c r="I181" s="989"/>
      <c r="J181" s="989"/>
      <c r="K181" s="989"/>
      <c r="L181" s="989"/>
      <c r="M181" s="990"/>
      <c r="N181" s="313"/>
      <c r="O181" s="426">
        <f t="shared" si="5"/>
        <v>0</v>
      </c>
      <c r="P181" s="286"/>
    </row>
    <row r="182" spans="2:16" ht="32.1" hidden="1" customHeight="1">
      <c r="B182" s="611"/>
      <c r="C182" s="317">
        <v>1750</v>
      </c>
      <c r="D182" s="612">
        <f t="shared" si="6"/>
        <v>0</v>
      </c>
      <c r="E182" s="318" t="str">
        <f>VLOOKUP("[Stk]",Sprachindex!$A:$Z,Haftungsausschluß!$O$6,FALSE)</f>
        <v>[Stk]</v>
      </c>
      <c r="F182" s="318" t="str">
        <f>IF($L$14=1,Preisliste!$E$143,Preisliste!$F$143)</f>
        <v>H801412</v>
      </c>
      <c r="G182" s="988" t="str">
        <f>VLOOKUP("Abdeckung VO 80, gebohrt und entgratet",Sprachindex!$A:$Z,Haftungsausschluß!$O$6,FALSE) &amp; IF('Kalkulation 1'!$AH$35," " &amp; 'Kalkulation 1'!$R$9,"")</f>
        <v>Abdeckung VO 80, gebohrt und entgratet</v>
      </c>
      <c r="H182" s="989"/>
      <c r="I182" s="989"/>
      <c r="J182" s="989"/>
      <c r="K182" s="989"/>
      <c r="L182" s="989"/>
      <c r="M182" s="990"/>
      <c r="N182" s="313"/>
      <c r="O182" s="426">
        <f t="shared" si="5"/>
        <v>0</v>
      </c>
      <c r="P182" s="286"/>
    </row>
    <row r="183" spans="2:16" ht="32.1" hidden="1" customHeight="1">
      <c r="B183" s="611"/>
      <c r="C183" s="317">
        <v>2150</v>
      </c>
      <c r="D183" s="612">
        <f t="shared" si="6"/>
        <v>0</v>
      </c>
      <c r="E183" s="318" t="str">
        <f>VLOOKUP("[Stk]",Sprachindex!$A:$Z,Haftungsausschluß!$O$6,FALSE)</f>
        <v>[Stk]</v>
      </c>
      <c r="F183" s="318" t="str">
        <f>IF($L$14=1,Preisliste!$E$144,Preisliste!$F$144)</f>
        <v>H801422</v>
      </c>
      <c r="G183" s="988" t="str">
        <f>VLOOKUP("Abdeckung VO 80, gebohrt und entgratet",Sprachindex!$A:$Z,Haftungsausschluß!$O$6,FALSE) &amp; IF('Kalkulation 1'!$AH$35," " &amp; 'Kalkulation 1'!$R$9,"")</f>
        <v>Abdeckung VO 80, gebohrt und entgratet</v>
      </c>
      <c r="H183" s="989"/>
      <c r="I183" s="989"/>
      <c r="J183" s="989"/>
      <c r="K183" s="989"/>
      <c r="L183" s="989"/>
      <c r="M183" s="990"/>
      <c r="N183" s="313"/>
      <c r="O183" s="426">
        <f t="shared" si="5"/>
        <v>0</v>
      </c>
      <c r="P183" s="286"/>
    </row>
    <row r="184" spans="2:16" ht="32.1" hidden="1" customHeight="1">
      <c r="B184" s="611"/>
      <c r="C184" s="317">
        <v>750</v>
      </c>
      <c r="D184" s="612">
        <f t="shared" si="6"/>
        <v>0</v>
      </c>
      <c r="E184" s="318" t="str">
        <f>VLOOKUP("[Stk]",Sprachindex!$A:$Z,Haftungsausschluß!$O$6,FALSE)</f>
        <v>[Stk]</v>
      </c>
      <c r="F184" s="318" t="str">
        <f>IF($L$14=1,Preisliste!$E$131,Preisliste!$F$131)</f>
        <v>H251040</v>
      </c>
      <c r="G184" s="988" t="str">
        <f>VLOOKUP("Abdeckung V 25, entgratet",Sprachindex!$A:$Z,Haftungsausschluß!$O$6,FALSE) &amp; IF('Kalkulation 1'!$AH$35," " &amp; 'Kalkulation 1'!$R$9,"")</f>
        <v>Abdeckung V 25, entgratet</v>
      </c>
      <c r="H184" s="989"/>
      <c r="I184" s="989"/>
      <c r="J184" s="989"/>
      <c r="K184" s="989"/>
      <c r="L184" s="989"/>
      <c r="M184" s="990"/>
      <c r="N184" s="313"/>
      <c r="O184" s="426">
        <f t="shared" si="5"/>
        <v>0</v>
      </c>
      <c r="P184" s="286"/>
    </row>
    <row r="185" spans="2:16" ht="32.1" hidden="1" customHeight="1">
      <c r="B185" s="611"/>
      <c r="C185" s="317">
        <v>1350</v>
      </c>
      <c r="D185" s="612">
        <f t="shared" si="6"/>
        <v>0</v>
      </c>
      <c r="E185" s="318" t="str">
        <f>VLOOKUP("[Stk]",Sprachindex!$A:$Z,Haftungsausschluß!$O$6,FALSE)</f>
        <v>[Stk]</v>
      </c>
      <c r="F185" s="318" t="str">
        <f>IF($L$14=1,Preisliste!$E$132,Preisliste!$F$132)</f>
        <v>H251041</v>
      </c>
      <c r="G185" s="988" t="str">
        <f>VLOOKUP("Abdeckung V 25, entgratet",Sprachindex!$A:$Z,Haftungsausschluß!$O$6,FALSE) &amp; IF('Kalkulation 1'!$AH$35," " &amp; 'Kalkulation 1'!$R$9,"")</f>
        <v>Abdeckung V 25, entgratet</v>
      </c>
      <c r="H185" s="989"/>
      <c r="I185" s="989"/>
      <c r="J185" s="989"/>
      <c r="K185" s="989"/>
      <c r="L185" s="989"/>
      <c r="M185" s="990"/>
      <c r="N185" s="313"/>
      <c r="O185" s="426">
        <f t="shared" si="5"/>
        <v>0</v>
      </c>
      <c r="P185" s="286"/>
    </row>
    <row r="186" spans="2:16" ht="32.1" hidden="1" customHeight="1">
      <c r="B186" s="611"/>
      <c r="C186" s="317">
        <v>750</v>
      </c>
      <c r="D186" s="612">
        <f t="shared" si="6"/>
        <v>0</v>
      </c>
      <c r="E186" s="318" t="str">
        <f>VLOOKUP("[Stk]",Sprachindex!$A:$Z,Haftungsausschluß!$O$6,FALSE)</f>
        <v>[Stk]</v>
      </c>
      <c r="F186" s="318" t="str">
        <f>IF($L$14=1,Preisliste!$E$135,Preisliste!$F$135)</f>
        <v>H501501</v>
      </c>
      <c r="G186" s="988" t="str">
        <f>VLOOKUP("Abdeckung V 50, gebohrt und entgratet",Sprachindex!$A:$Z,Haftungsausschluß!$O$6,FALSE) &amp; IF('Kalkulation 1'!$AH$35," " &amp; 'Kalkulation 1'!$R$9,"")</f>
        <v>Abdeckung V 50, gebohrt und entgratet</v>
      </c>
      <c r="H186" s="989"/>
      <c r="I186" s="989"/>
      <c r="J186" s="989"/>
      <c r="K186" s="989"/>
      <c r="L186" s="989"/>
      <c r="M186" s="990"/>
      <c r="N186" s="313"/>
      <c r="O186" s="426">
        <f t="shared" si="5"/>
        <v>0</v>
      </c>
      <c r="P186" s="286"/>
    </row>
    <row r="187" spans="2:16" ht="32.1" hidden="1" customHeight="1">
      <c r="B187" s="611"/>
      <c r="C187" s="317">
        <v>1350</v>
      </c>
      <c r="D187" s="612">
        <f t="shared" si="6"/>
        <v>0</v>
      </c>
      <c r="E187" s="318" t="str">
        <f>VLOOKUP("[Stk]",Sprachindex!$A:$Z,Haftungsausschluß!$O$6,FALSE)</f>
        <v>[Stk]</v>
      </c>
      <c r="F187" s="318" t="str">
        <f>IF($L$14=1,Preisliste!$E$136,Preisliste!$F$136)</f>
        <v>H501511</v>
      </c>
      <c r="G187" s="988" t="str">
        <f>VLOOKUP("Abdeckung V 50, gebohrt und entgratet",Sprachindex!$A:$Z,Haftungsausschluß!$O$6,FALSE) &amp; IF('Kalkulation 1'!$AH$35," " &amp; 'Kalkulation 1'!$R$9,"")</f>
        <v>Abdeckung V 50, gebohrt und entgratet</v>
      </c>
      <c r="H187" s="989"/>
      <c r="I187" s="989"/>
      <c r="J187" s="989"/>
      <c r="K187" s="989"/>
      <c r="L187" s="989"/>
      <c r="M187" s="990"/>
      <c r="N187" s="313">
        <v>21</v>
      </c>
      <c r="O187" s="426">
        <f t="shared" si="5"/>
        <v>0</v>
      </c>
      <c r="P187" s="286"/>
    </row>
    <row r="188" spans="2:16" ht="32.1" hidden="1" customHeight="1">
      <c r="B188" s="611"/>
      <c r="C188" s="317">
        <v>1750</v>
      </c>
      <c r="D188" s="612">
        <f t="shared" si="6"/>
        <v>0</v>
      </c>
      <c r="E188" s="318" t="str">
        <f>VLOOKUP("[Stk]",Sprachindex!$A:$Z,Haftungsausschluß!$O$6,FALSE)</f>
        <v>[Stk]</v>
      </c>
      <c r="F188" s="318" t="str">
        <f>IF($L$14=1,Preisliste!$E$137,Preisliste!$F$137)</f>
        <v>H501512</v>
      </c>
      <c r="G188" s="988" t="str">
        <f>VLOOKUP("Abdeckung V 50, gebohrt und entgratet",Sprachindex!$A:$Z,Haftungsausschluß!$O$6,FALSE) &amp; IF('Kalkulation 1'!$AH$35," " &amp; 'Kalkulation 1'!$R$9,"")</f>
        <v>Abdeckung V 50, gebohrt und entgratet</v>
      </c>
      <c r="H188" s="989"/>
      <c r="I188" s="989"/>
      <c r="J188" s="989"/>
      <c r="K188" s="989"/>
      <c r="L188" s="989"/>
      <c r="M188" s="990"/>
      <c r="N188" s="313"/>
      <c r="O188" s="426">
        <f t="shared" si="5"/>
        <v>0</v>
      </c>
      <c r="P188" s="286"/>
    </row>
    <row r="189" spans="2:16" ht="32.1" hidden="1" customHeight="1">
      <c r="B189" s="611"/>
      <c r="C189" s="317">
        <v>2150</v>
      </c>
      <c r="D189" s="612">
        <f t="shared" si="6"/>
        <v>0</v>
      </c>
      <c r="E189" s="318" t="str">
        <f>VLOOKUP("[Stk]",Sprachindex!$A:$Z,Haftungsausschluß!$O$6,FALSE)</f>
        <v>[Stk]</v>
      </c>
      <c r="F189" s="318" t="str">
        <f>IF($L$14=1,Preisliste!$E$138,Preisliste!$F$138)</f>
        <v>H501522</v>
      </c>
      <c r="G189" s="988" t="str">
        <f>VLOOKUP("Abdeckung V 50, gebohrt und entgratet",Sprachindex!$A:$Z,Haftungsausschluß!$O$6,FALSE) &amp; IF('Kalkulation 1'!$AH$35," " &amp; 'Kalkulation 1'!$R$9,"")</f>
        <v>Abdeckung V 50, gebohrt und entgratet</v>
      </c>
      <c r="H189" s="989"/>
      <c r="I189" s="989"/>
      <c r="J189" s="989"/>
      <c r="K189" s="989"/>
      <c r="L189" s="989"/>
      <c r="M189" s="990"/>
      <c r="N189" s="313"/>
      <c r="O189" s="426">
        <f t="shared" si="5"/>
        <v>0</v>
      </c>
      <c r="P189" s="286"/>
    </row>
    <row r="190" spans="2:16" ht="32.1" hidden="1" customHeight="1">
      <c r="B190" s="611"/>
      <c r="C190" s="317">
        <v>750</v>
      </c>
      <c r="D190" s="612">
        <f t="shared" si="6"/>
        <v>0</v>
      </c>
      <c r="E190" s="318" t="str">
        <f>VLOOKUP("[Stk]",Sprachindex!$A:$Z,Haftungsausschluß!$O$6,FALSE)</f>
        <v>[Stk]</v>
      </c>
      <c r="F190" s="318" t="str">
        <f>IF($L$14=1,Preisliste!$E$146,Preisliste!$F$146)</f>
        <v>H801501</v>
      </c>
      <c r="G190" s="988" t="str">
        <f>VLOOKUP("Abdeckung V 80, gebohrt und entgratet",Sprachindex!$A:$Z,Haftungsausschluß!$O$6,FALSE) &amp; IF('Kalkulation 1'!$AH$35," " &amp; 'Kalkulation 1'!$R$9,"")</f>
        <v>Abdeckung V 80, gebohrt und entgratet</v>
      </c>
      <c r="H190" s="989"/>
      <c r="I190" s="989"/>
      <c r="J190" s="989"/>
      <c r="K190" s="989"/>
      <c r="L190" s="989"/>
      <c r="M190" s="990"/>
      <c r="N190" s="313"/>
      <c r="O190" s="426">
        <f t="shared" si="5"/>
        <v>0</v>
      </c>
      <c r="P190" s="286"/>
    </row>
    <row r="191" spans="2:16" ht="32.1" hidden="1" customHeight="1">
      <c r="B191" s="611"/>
      <c r="C191" s="317">
        <v>1350</v>
      </c>
      <c r="D191" s="612">
        <f t="shared" si="6"/>
        <v>0</v>
      </c>
      <c r="E191" s="318" t="str">
        <f>VLOOKUP("[Stk]",Sprachindex!$A:$Z,Haftungsausschluß!$O$6,FALSE)</f>
        <v>[Stk]</v>
      </c>
      <c r="F191" s="318" t="str">
        <f>IF($L$14=1,Preisliste!$E$147,Preisliste!$F$147)</f>
        <v>H801511</v>
      </c>
      <c r="G191" s="988" t="str">
        <f>VLOOKUP("Abdeckung V 80, gebohrt und entgratet",Sprachindex!$A:$Z,Haftungsausschluß!$O$6,FALSE) &amp; IF('Kalkulation 1'!$AH$35," " &amp; 'Kalkulation 1'!$R$9,"")</f>
        <v>Abdeckung V 80, gebohrt und entgratet</v>
      </c>
      <c r="H191" s="989"/>
      <c r="I191" s="989"/>
      <c r="J191" s="989"/>
      <c r="K191" s="989"/>
      <c r="L191" s="989"/>
      <c r="M191" s="990"/>
      <c r="N191" s="553"/>
      <c r="O191" s="554">
        <f t="shared" si="5"/>
        <v>0</v>
      </c>
      <c r="P191" s="286"/>
    </row>
    <row r="192" spans="2:16" ht="32.1" hidden="1" customHeight="1">
      <c r="B192" s="611"/>
      <c r="C192" s="317">
        <v>1750</v>
      </c>
      <c r="D192" s="612">
        <f t="shared" si="6"/>
        <v>0</v>
      </c>
      <c r="E192" s="318" t="str">
        <f>VLOOKUP("[Stk]",Sprachindex!$A:$Z,Haftungsausschluß!$O$6,FALSE)</f>
        <v>[Stk]</v>
      </c>
      <c r="F192" s="318" t="str">
        <f>IF($L$14=1,Preisliste!$E$148,Preisliste!$F$148)</f>
        <v>H801512</v>
      </c>
      <c r="G192" s="988" t="str">
        <f>VLOOKUP("Abdeckung V 80, gebohrt und entgratet",Sprachindex!$A:$Z,Haftungsausschluß!$O$6,FALSE) &amp; IF('Kalkulation 1'!$AH$35," " &amp; 'Kalkulation 1'!$R$9,"")</f>
        <v>Abdeckung V 80, gebohrt und entgratet</v>
      </c>
      <c r="H192" s="989"/>
      <c r="I192" s="989"/>
      <c r="J192" s="989"/>
      <c r="K192" s="989"/>
      <c r="L192" s="989"/>
      <c r="M192" s="990"/>
      <c r="N192" s="313"/>
      <c r="O192" s="426">
        <f t="shared" si="5"/>
        <v>0</v>
      </c>
      <c r="P192" s="286"/>
    </row>
    <row r="193" spans="2:36" ht="32.1" hidden="1" customHeight="1">
      <c r="B193" s="611"/>
      <c r="C193" s="317">
        <v>2150</v>
      </c>
      <c r="D193" s="612">
        <f t="shared" si="6"/>
        <v>0</v>
      </c>
      <c r="E193" s="318" t="str">
        <f>VLOOKUP("[Stk]",Sprachindex!$A:$Z,Haftungsausschluß!$O$6,FALSE)</f>
        <v>[Stk]</v>
      </c>
      <c r="F193" s="318" t="str">
        <f>IF($L$14=1,Preisliste!$E$149,Preisliste!$F$149)</f>
        <v>H801522</v>
      </c>
      <c r="G193" s="988" t="str">
        <f>VLOOKUP("Abdeckung V 80, gebohrt und entgratet",Sprachindex!$A:$Z,Haftungsausschluß!$O$6,FALSE) &amp; IF('Kalkulation 1'!$AH$35," " &amp; 'Kalkulation 1'!$R$9,"")</f>
        <v>Abdeckung V 80, gebohrt und entgratet</v>
      </c>
      <c r="H193" s="989"/>
      <c r="I193" s="989"/>
      <c r="J193" s="989"/>
      <c r="K193" s="989"/>
      <c r="L193" s="989"/>
      <c r="M193" s="990"/>
      <c r="N193" s="313"/>
      <c r="O193" s="426">
        <f t="shared" si="5"/>
        <v>0</v>
      </c>
      <c r="P193" s="286"/>
    </row>
    <row r="194" spans="2:36" ht="32.1" hidden="1" customHeight="1">
      <c r="B194" s="611"/>
      <c r="C194" s="317"/>
      <c r="D194" s="612">
        <f t="shared" si="6"/>
        <v>0</v>
      </c>
      <c r="E194" s="318" t="str">
        <f>VLOOKUP("[Stk]",Sprachindex!$A:$Z,Haftungsausschluß!$O$6,FALSE)</f>
        <v>[Stk]</v>
      </c>
      <c r="F194" s="318" t="str">
        <f>IF($L$14=1,Preisliste!$E$152,Preisliste!$F$152)</f>
        <v>H001010</v>
      </c>
      <c r="G194" s="988" t="str">
        <f>VLOOKUP("Sicherungsschraube für Abdeckung",Sprachindex!$A:$Z,Haftungsausschluß!$O$6,FALSE)</f>
        <v>Sicherungsschraube für Abdeckung</v>
      </c>
      <c r="H194" s="989"/>
      <c r="I194" s="989"/>
      <c r="J194" s="989"/>
      <c r="K194" s="989"/>
      <c r="L194" s="989"/>
      <c r="M194" s="990"/>
      <c r="N194" s="313"/>
      <c r="O194" s="426">
        <f t="shared" si="5"/>
        <v>0</v>
      </c>
      <c r="P194" s="286"/>
    </row>
    <row r="195" spans="2:36" ht="32.1" hidden="1" customHeight="1">
      <c r="B195" s="611"/>
      <c r="C195" s="317"/>
      <c r="D195" s="612">
        <f t="shared" si="6"/>
        <v>0</v>
      </c>
      <c r="E195" s="318" t="str">
        <f>VLOOKUP("[Paar]",Sprachindex!$A:$Z,Haftungsausschluß!$O$6,FALSE)</f>
        <v>[Paar]</v>
      </c>
      <c r="F195" s="318" t="str">
        <f>IF($L$14=1,Preisliste!$E$154,Preisliste!$F$154)</f>
        <v>H001020</v>
      </c>
      <c r="G195" s="988" t="str">
        <f>VLOOKUP("Halterung für Dammbalken",Sprachindex!$A:$Z,Haftungsausschluß!$O$6,FALSE)</f>
        <v>Halterung für Dammbalken</v>
      </c>
      <c r="H195" s="989"/>
      <c r="I195" s="989"/>
      <c r="J195" s="989"/>
      <c r="K195" s="989"/>
      <c r="L195" s="989"/>
      <c r="M195" s="990"/>
      <c r="N195" s="313"/>
      <c r="O195" s="426">
        <f t="shared" si="5"/>
        <v>0</v>
      </c>
      <c r="P195" s="430"/>
    </row>
    <row r="196" spans="2:36" ht="32.1" hidden="1" customHeight="1">
      <c r="B196" s="611"/>
      <c r="C196" s="312"/>
      <c r="D196" s="612">
        <f t="shared" si="6"/>
        <v>0</v>
      </c>
      <c r="E196" s="318" t="str">
        <f>VLOOKUP("[Stk]",Sprachindex!$A:$Z,Haftungsausschluß!$O$6,FALSE)</f>
        <v>[Stk]</v>
      </c>
      <c r="F196" s="318" t="str">
        <f>IF($L$14=1,Preisliste!$E$155,Preisliste!$F$155)</f>
        <v>H002010</v>
      </c>
      <c r="G196" s="988" t="str">
        <f>VLOOKUP("Lagerabdeckung (Mittelteil)",Sprachindex!$A:$Z,Haftungsausschluß!$O$6,FALSE) &amp; IF('Kalkulation 1'!AH36," " &amp; 'Kalkulation 1'!R9,"")</f>
        <v>Lagerabdeckung (Mittelteil)</v>
      </c>
      <c r="H196" s="989"/>
      <c r="I196" s="989"/>
      <c r="J196" s="989"/>
      <c r="K196" s="989"/>
      <c r="L196" s="989"/>
      <c r="M196" s="990"/>
      <c r="N196" s="313"/>
      <c r="O196" s="426">
        <f t="shared" si="5"/>
        <v>0</v>
      </c>
      <c r="P196" s="324"/>
    </row>
    <row r="197" spans="2:36" ht="32.1" hidden="1" customHeight="1">
      <c r="B197" s="421"/>
      <c r="C197" s="317"/>
      <c r="D197" s="317">
        <f t="shared" ref="D197" si="7">B197</f>
        <v>0</v>
      </c>
      <c r="E197" s="318" t="str">
        <f>VLOOKUP("[lfm]",Sprachindex!$A:$Z,Haftungsausschluß!$O$6,FALSE)</f>
        <v>[lfm]</v>
      </c>
      <c r="F197" s="318" t="str">
        <f>IF($L$14=1,Preisliste!$E$113,Preisliste!$F$113)</f>
        <v>H001083</v>
      </c>
      <c r="G197" s="988" t="str">
        <f>VLOOKUP("Dauerbodendichtung 25",Sprachindex!$A:$Z,Haftungsausschluß!$O$6,FALSE)</f>
        <v>Dauerbodendichtung 25</v>
      </c>
      <c r="H197" s="989"/>
      <c r="I197" s="989"/>
      <c r="J197" s="989"/>
      <c r="K197" s="989"/>
      <c r="L197" s="989"/>
      <c r="M197" s="990"/>
      <c r="N197" s="511"/>
      <c r="O197" s="554">
        <f t="shared" si="5"/>
        <v>0</v>
      </c>
      <c r="P197" s="430"/>
    </row>
    <row r="198" spans="2:36" ht="32.1" hidden="1" customHeight="1">
      <c r="B198" s="611"/>
      <c r="C198" s="317"/>
      <c r="D198" s="612">
        <f t="shared" si="6"/>
        <v>0</v>
      </c>
      <c r="E198" s="318" t="str">
        <f>VLOOKUP("[Stk]",Sprachindex!$A:$Z,Haftungsausschluß!$O$6,FALSE)</f>
        <v>[Stk]</v>
      </c>
      <c r="F198" s="318" t="str">
        <f>IF($L$14=1,Preisliste!$E$156,Preisliste!$F$156)</f>
        <v>H002011</v>
      </c>
      <c r="G198" s="988" t="str">
        <f>VLOOKUP("Lagerabdeckung (Seitenteil)",Sprachindex!$A:$Z,Haftungsausschluß!$O$6,FALSE) &amp; IF('Kalkulation 1'!AH36," " &amp; 'Kalkulation 1'!R9,"")</f>
        <v>Lagerabdeckung (Seitenteil)</v>
      </c>
      <c r="H198" s="989"/>
      <c r="I198" s="989"/>
      <c r="J198" s="989"/>
      <c r="K198" s="989"/>
      <c r="L198" s="989"/>
      <c r="M198" s="990"/>
      <c r="N198" s="511"/>
      <c r="O198" s="426">
        <f t="shared" si="5"/>
        <v>0</v>
      </c>
      <c r="P198" s="324"/>
    </row>
    <row r="199" spans="2:36" ht="32.1" hidden="1" customHeight="1">
      <c r="B199" s="611"/>
      <c r="C199" s="317"/>
      <c r="D199" s="612">
        <f t="shared" si="6"/>
        <v>0</v>
      </c>
      <c r="E199" s="318" t="str">
        <f>VLOOKUP("[Stk]",Sprachindex!$A:$Z,Haftungsausschluß!$O$6,FALSE)</f>
        <v>[Stk]</v>
      </c>
      <c r="F199" s="318" t="str">
        <f>IF($L$14=1,Preisliste!$E$162,Preisliste!$F$162)</f>
        <v>H001101</v>
      </c>
      <c r="G199" s="988" t="e">
        <f>VLOOKUP("Hebehilfe",Sprachindex!$A:$Z,Haftungsausschluß!$O$6,FALSE)</f>
        <v>#N/A</v>
      </c>
      <c r="H199" s="989"/>
      <c r="I199" s="989"/>
      <c r="J199" s="989"/>
      <c r="K199" s="989"/>
      <c r="L199" s="989"/>
      <c r="M199" s="990"/>
      <c r="N199" s="313"/>
      <c r="O199" s="426">
        <f t="shared" ref="O199:O206" si="8">N199*D199</f>
        <v>0</v>
      </c>
      <c r="P199" s="286"/>
    </row>
    <row r="200" spans="2:36" ht="32.1" hidden="1" customHeight="1">
      <c r="B200" s="611"/>
      <c r="C200" s="317"/>
      <c r="D200" s="612">
        <f t="shared" si="6"/>
        <v>0</v>
      </c>
      <c r="E200" s="318" t="str">
        <f>VLOOKUP("[Stk]",Sprachindex!$A:$Z,Haftungsausschluß!$O$6,FALSE)</f>
        <v>[Stk]</v>
      </c>
      <c r="F200" s="318" t="str">
        <f>IF($L$14=1,Preisliste!$E$165,Preisliste!$F$165)</f>
        <v>-</v>
      </c>
      <c r="G200" s="988" t="str">
        <f>VLOOKUP("Aufpreis Ausfräsung Wandprofil für Dammbalken",Sprachindex!$A:$Z,Haftungsausschluß!$O$6,FALSE)</f>
        <v>Aufpreis Ausfräsung Wandprofil für Dammbalken</v>
      </c>
      <c r="H200" s="989"/>
      <c r="I200" s="989"/>
      <c r="J200" s="989"/>
      <c r="K200" s="989"/>
      <c r="L200" s="989"/>
      <c r="M200" s="990"/>
      <c r="N200" s="313"/>
      <c r="O200" s="426">
        <f t="shared" si="8"/>
        <v>0</v>
      </c>
      <c r="P200" s="286"/>
    </row>
    <row r="201" spans="2:36" ht="32.1" hidden="1" customHeight="1">
      <c r="B201" s="611"/>
      <c r="C201" s="317"/>
      <c r="D201" s="612">
        <f t="shared" si="6"/>
        <v>0</v>
      </c>
      <c r="E201" s="318" t="str">
        <f>VLOOKUP("[Stk]",Sprachindex!$A:$Z,Haftungsausschluß!$O$6,FALSE)</f>
        <v>[Stk]</v>
      </c>
      <c r="F201" s="318" t="str">
        <f>IF($L$14=1,Preisliste!$E$166,Preisliste!$F$166)</f>
        <v>-</v>
      </c>
      <c r="G201" s="988" t="str">
        <f>VLOOKUP("Aufpreis Längenänderung Wandprofil",Sprachindex!$A:$Z,Haftungsausschluß!$O$6,FALSE)</f>
        <v>Aufpreis Längenänderung Wandprofil</v>
      </c>
      <c r="H201" s="989"/>
      <c r="I201" s="989"/>
      <c r="J201" s="989"/>
      <c r="K201" s="989"/>
      <c r="L201" s="989"/>
      <c r="M201" s="990"/>
      <c r="N201" s="313"/>
      <c r="O201" s="426">
        <f t="shared" si="8"/>
        <v>0</v>
      </c>
      <c r="P201" s="286"/>
    </row>
    <row r="202" spans="2:36" ht="32.1" hidden="1" customHeight="1">
      <c r="B202" s="623"/>
      <c r="C202" s="429"/>
      <c r="D202" s="613">
        <f t="shared" si="6"/>
        <v>0</v>
      </c>
      <c r="E202" s="329" t="str">
        <f>VLOOKUP("[Stk]",Sprachindex!$A:$Z,Haftungsausschluß!$O$6,FALSE)</f>
        <v>[Stk]</v>
      </c>
      <c r="F202" s="329" t="str">
        <f>IF($L$14=1,Preisliste!$E$167,Preisliste!$F$167)</f>
        <v>-</v>
      </c>
      <c r="G202" s="998" t="str">
        <f>VLOOKUP("Aufpreis Verankerung aufgeschweißt (a 300mm)",Sprachindex!$A:$Z,Haftungsausschluß!$O$6,FALSE)</f>
        <v>Aufpreis Verankerung aufgeschweißt (a 300mm)</v>
      </c>
      <c r="H202" s="999"/>
      <c r="I202" s="999"/>
      <c r="J202" s="999"/>
      <c r="K202" s="999"/>
      <c r="L202" s="999"/>
      <c r="M202" s="1000"/>
      <c r="N202" s="621"/>
      <c r="O202" s="622">
        <f t="shared" si="8"/>
        <v>0</v>
      </c>
      <c r="P202" s="286"/>
    </row>
    <row r="203" spans="2:36" ht="32.1" hidden="1" customHeight="1">
      <c r="B203" s="611"/>
      <c r="C203" s="317"/>
      <c r="D203" s="612">
        <v>1</v>
      </c>
      <c r="E203" s="318" t="str">
        <f>VLOOKUP("[Stk]",Sprachindex!$A:$Z,Haftungsausschluß!$O$6,FALSE)</f>
        <v>[Stk]</v>
      </c>
      <c r="F203" s="318" t="s">
        <v>3362</v>
      </c>
      <c r="G203" s="988" t="str">
        <f>VLOOKUP("Dammbalkenhaken",Sprachindex!$A:$Z,Haftungsausschluß!$O$6,FALSE)</f>
        <v>Dammbalkenhaken</v>
      </c>
      <c r="H203" s="989"/>
      <c r="I203" s="989"/>
      <c r="J203" s="989"/>
      <c r="K203" s="989"/>
      <c r="L203" s="989"/>
      <c r="M203" s="990"/>
      <c r="N203" s="625">
        <v>0</v>
      </c>
      <c r="O203" s="626">
        <f t="shared" si="8"/>
        <v>0</v>
      </c>
      <c r="P203" s="286"/>
    </row>
    <row r="204" spans="2:36" ht="32.1" hidden="1" customHeight="1">
      <c r="B204" s="644"/>
      <c r="C204" s="416"/>
      <c r="D204" s="645">
        <f t="shared" si="6"/>
        <v>0</v>
      </c>
      <c r="E204" s="417" t="str">
        <f>VLOOKUP("[Stk]",Sprachindex!$A:$Z,Haftungsausschluß!$O$6,FALSE)</f>
        <v>[Stk]</v>
      </c>
      <c r="F204" s="417" t="s">
        <v>3773</v>
      </c>
      <c r="G204" s="1001" t="str">
        <f>VLOOKUP("Dichtungsroller 25/50",Sprachindex!$A:$Z,Haftungsausschluß!$O$6,FALSE)</f>
        <v>Dichtungsroller 25/50</v>
      </c>
      <c r="H204" s="1002"/>
      <c r="I204" s="1002"/>
      <c r="J204" s="1002"/>
      <c r="K204" s="1002"/>
      <c r="L204" s="1002"/>
      <c r="M204" s="1003"/>
      <c r="N204" s="313"/>
      <c r="O204" s="426">
        <f t="shared" si="8"/>
        <v>0</v>
      </c>
      <c r="P204" s="324"/>
    </row>
    <row r="205" spans="2:36" ht="32.1" hidden="1" customHeight="1">
      <c r="B205" s="720"/>
      <c r="C205" s="721"/>
      <c r="D205" s="722">
        <f>B205</f>
        <v>0</v>
      </c>
      <c r="E205" s="723" t="s">
        <v>2742</v>
      </c>
      <c r="F205" s="723">
        <v>920005</v>
      </c>
      <c r="G205" s="1004" t="s">
        <v>2838</v>
      </c>
      <c r="H205" s="1005"/>
      <c r="I205" s="1005"/>
      <c r="J205" s="1005"/>
      <c r="K205" s="1005"/>
      <c r="L205" s="1005"/>
      <c r="M205" s="1006"/>
      <c r="N205" s="724">
        <v>90</v>
      </c>
      <c r="O205" s="725">
        <f t="shared" si="8"/>
        <v>0</v>
      </c>
      <c r="P205" s="430"/>
      <c r="AI205" s="546">
        <f>Q6</f>
        <v>0</v>
      </c>
      <c r="AJ205" s="714">
        <f>IF(Q5=2,Q6,0)</f>
        <v>0</v>
      </c>
    </row>
    <row r="206" spans="2:36" ht="32.1" hidden="1" customHeight="1">
      <c r="B206" s="611"/>
      <c r="C206" s="317"/>
      <c r="D206" s="612">
        <f t="shared" si="6"/>
        <v>0</v>
      </c>
      <c r="E206" s="318" t="str">
        <f>VLOOKUP("[EH]",Sprachindex!$A:$Z,Haftungsausschluß!$O$6,FALSE)</f>
        <v>[EH]</v>
      </c>
      <c r="F206" s="318" t="str">
        <f>IF($L$14=1,Preisliste!$E$169,Preisliste!$F$169)</f>
        <v>-</v>
      </c>
      <c r="G206" s="988" t="str">
        <f>VLOOKUP("Aufpreis Planungsstunde",Sprachindex!$A:$Z,Haftungsausschluß!$O$6,FALSE)</f>
        <v>Aufpreis Planungsstunde</v>
      </c>
      <c r="H206" s="989"/>
      <c r="I206" s="989"/>
      <c r="J206" s="989"/>
      <c r="K206" s="989"/>
      <c r="L206" s="989"/>
      <c r="M206" s="990"/>
      <c r="N206" s="511"/>
      <c r="O206" s="512">
        <f t="shared" si="8"/>
        <v>0</v>
      </c>
      <c r="P206" s="286"/>
    </row>
    <row r="207" spans="2:36" ht="32.1" hidden="1" customHeight="1">
      <c r="B207" s="556"/>
      <c r="C207" s="312">
        <v>875</v>
      </c>
      <c r="D207" s="317">
        <f t="shared" ref="D207:D270" si="9">B207*C207/1000</f>
        <v>0</v>
      </c>
      <c r="E207" s="318" t="str">
        <f>VLOOKUP("[m]",Sprachindex!$A:$Z,Haftungsausschluß!$O$6,FALSE)</f>
        <v>[m]</v>
      </c>
      <c r="F207" s="318" t="str">
        <f>IF($L$14=1,Preisliste!$E$7,Preisliste!$F$7)</f>
        <v>H251000</v>
      </c>
      <c r="G207" s="988" t="str">
        <f>VLOOKUP("Dammbalken 25/200 exkl. Dichtung, gesägt und entgratet",Sprachindex!$A:$Z,Haftungsausschluß!$O$6,FALSE) &amp; " (" &amp; ROUNDUP(C207/1000*2.99,2) &amp; " " &amp; VLOOKUP("kg/Stk",Sprachindex!$A:$Z,Haftungsausschluß!$O$6,FALSE) &amp; ")" &amp; IF('Kalkulation 1'!$AH$33," " &amp; 'Kalkulation 1'!$R$9,"")</f>
        <v>Dammbalken 25/200 exkl. Dichtung, gesägt und entgratet (2.62 kg/Stk)</v>
      </c>
      <c r="H207" s="989"/>
      <c r="I207" s="989"/>
      <c r="J207" s="989"/>
      <c r="K207" s="989"/>
      <c r="L207" s="989"/>
      <c r="M207" s="990"/>
      <c r="N207" s="313"/>
      <c r="O207" s="426">
        <f t="shared" ref="O207:O270" si="10">N207*D207</f>
        <v>0</v>
      </c>
      <c r="P207" s="286"/>
    </row>
    <row r="208" spans="2:36" ht="32.1" hidden="1" customHeight="1">
      <c r="B208" s="556"/>
      <c r="C208" s="312">
        <v>1275</v>
      </c>
      <c r="D208" s="317">
        <f t="shared" si="9"/>
        <v>0</v>
      </c>
      <c r="E208" s="318" t="str">
        <f>VLOOKUP("[m]",Sprachindex!$A:$Z,Haftungsausschluß!$O$6,FALSE)</f>
        <v>[m]</v>
      </c>
      <c r="F208" s="318" t="str">
        <f>IF($L$14=1,Preisliste!$E$7,Preisliste!$F$7)</f>
        <v>H251000</v>
      </c>
      <c r="G208" s="988" t="str">
        <f>VLOOKUP("Dammbalken 25/200 exkl. Dichtung, gesägt und entgratet",Sprachindex!$A:$Z,Haftungsausschluß!$O$6,FALSE) &amp; " (" &amp; ROUNDUP(C208/1000*2.99,2) &amp; " " &amp; VLOOKUP("kg/Stk",Sprachindex!$A:$Z,Haftungsausschluß!$O$6,FALSE) &amp; ")" &amp; IF('Kalkulation 1'!$AH$33," " &amp; 'Kalkulation 1'!$R$9,"")</f>
        <v>Dammbalken 25/200 exkl. Dichtung, gesägt und entgratet (3.82 kg/Stk)</v>
      </c>
      <c r="H208" s="989"/>
      <c r="I208" s="989"/>
      <c r="J208" s="989"/>
      <c r="K208" s="989"/>
      <c r="L208" s="989"/>
      <c r="M208" s="990"/>
      <c r="N208" s="313"/>
      <c r="O208" s="426">
        <f t="shared" si="10"/>
        <v>0</v>
      </c>
      <c r="P208" s="286"/>
    </row>
    <row r="209" spans="2:16" ht="32.1" hidden="1" customHeight="1">
      <c r="B209" s="556"/>
      <c r="C209" s="312">
        <v>1275</v>
      </c>
      <c r="D209" s="317">
        <f t="shared" si="9"/>
        <v>0</v>
      </c>
      <c r="E209" s="318" t="str">
        <f>VLOOKUP("[m]",Sprachindex!$A:$Z,Haftungsausschluß!$O$6,FALSE)</f>
        <v>[m]</v>
      </c>
      <c r="F209" s="318" t="str">
        <f>IF($L$14=1,Preisliste!$E$7,Preisliste!$F$7)</f>
        <v>H251000</v>
      </c>
      <c r="G209" s="988" t="str">
        <f>VLOOKUP("Dammbalken 25/200 exkl. Dichtung, gesägt und entgratet",Sprachindex!$A:$Z,Haftungsausschluß!$O$6,FALSE) &amp; " (" &amp; ROUNDUP(C209/1000*2.99,2) &amp; " " &amp; VLOOKUP("kg/Stk",Sprachindex!$A:$Z,Haftungsausschluß!$O$6,FALSE) &amp; ")" &amp; IF('Kalkulation 1'!$AH$33," " &amp; 'Kalkulation 1'!$R$9,"")</f>
        <v>Dammbalken 25/200 exkl. Dichtung, gesägt und entgratet (3.82 kg/Stk)</v>
      </c>
      <c r="H209" s="989"/>
      <c r="I209" s="989"/>
      <c r="J209" s="989"/>
      <c r="K209" s="989"/>
      <c r="L209" s="989"/>
      <c r="M209" s="990"/>
      <c r="N209" s="313"/>
      <c r="O209" s="426">
        <f t="shared" si="10"/>
        <v>0</v>
      </c>
      <c r="P209" s="286"/>
    </row>
    <row r="210" spans="2:16" ht="32.1" hidden="1" customHeight="1">
      <c r="B210" s="556"/>
      <c r="C210" s="312">
        <v>0</v>
      </c>
      <c r="D210" s="317">
        <f t="shared" si="9"/>
        <v>0</v>
      </c>
      <c r="E210" s="318" t="str">
        <f>VLOOKUP("[m]",Sprachindex!$A:$Z,Haftungsausschluß!$O$6,FALSE)</f>
        <v>[m]</v>
      </c>
      <c r="F210" s="318" t="str">
        <f>IF($L$14=1,Preisliste!$E$7,Preisliste!$F$7)</f>
        <v>H251000</v>
      </c>
      <c r="G210" s="988" t="str">
        <f>VLOOKUP("Dammbalken 25/200 exkl. Dichtung, gesägt und entgratet",Sprachindex!$A:$Z,Haftungsausschluß!$O$6,FALSE) &amp; " (" &amp; ROUNDUP(C210/1000*2.99,2) &amp; " " &amp; VLOOKUP("kg/Stk",Sprachindex!$A:$Z,Haftungsausschluß!$O$6,FALSE) &amp; ")" &amp; IF('Kalkulation 1'!$AH$33," " &amp; 'Kalkulation 1'!$R$9,"")</f>
        <v>Dammbalken 25/200 exkl. Dichtung, gesägt und entgratet (0 kg/Stk)</v>
      </c>
      <c r="H210" s="989"/>
      <c r="I210" s="989"/>
      <c r="J210" s="989"/>
      <c r="K210" s="989"/>
      <c r="L210" s="989"/>
      <c r="M210" s="990"/>
      <c r="N210" s="313"/>
      <c r="O210" s="426">
        <f t="shared" si="10"/>
        <v>0</v>
      </c>
      <c r="P210" s="286"/>
    </row>
    <row r="211" spans="2:16" ht="32.1" hidden="1" customHeight="1">
      <c r="B211" s="556"/>
      <c r="C211" s="312">
        <v>0</v>
      </c>
      <c r="D211" s="317">
        <f t="shared" si="9"/>
        <v>0</v>
      </c>
      <c r="E211" s="318" t="str">
        <f>VLOOKUP("[m]",Sprachindex!$A:$Z,Haftungsausschluß!$O$6,FALSE)</f>
        <v>[m]</v>
      </c>
      <c r="F211" s="318" t="str">
        <f>IF($L$14=1,Preisliste!$E$7,Preisliste!$F$7)</f>
        <v>H251000</v>
      </c>
      <c r="G211" s="988" t="str">
        <f>VLOOKUP("Dammbalken 25/200 exkl. Dichtung, gesägt und entgratet",Sprachindex!$A:$Z,Haftungsausschluß!$O$6,FALSE) &amp; " (" &amp; ROUNDUP(C211/1000*2.99,2) &amp; " " &amp; VLOOKUP("kg/Stk",Sprachindex!$A:$Z,Haftungsausschluß!$O$6,FALSE) &amp; ")" &amp; IF('Kalkulation 1'!$AH$33," " &amp; 'Kalkulation 1'!$R$9,"")</f>
        <v>Dammbalken 25/200 exkl. Dichtung, gesägt und entgratet (0 kg/Stk)</v>
      </c>
      <c r="H211" s="989"/>
      <c r="I211" s="989"/>
      <c r="J211" s="989"/>
      <c r="K211" s="989"/>
      <c r="L211" s="989"/>
      <c r="M211" s="990"/>
      <c r="N211" s="313"/>
      <c r="O211" s="426">
        <f t="shared" si="10"/>
        <v>0</v>
      </c>
      <c r="P211" s="286"/>
    </row>
    <row r="212" spans="2:16" ht="32.1" hidden="1" customHeight="1">
      <c r="B212" s="556"/>
      <c r="C212" s="312">
        <v>0</v>
      </c>
      <c r="D212" s="317">
        <f t="shared" si="9"/>
        <v>0</v>
      </c>
      <c r="E212" s="318" t="str">
        <f>VLOOKUP("[m]",Sprachindex!$A:$Z,Haftungsausschluß!$O$6,FALSE)</f>
        <v>[m]</v>
      </c>
      <c r="F212" s="318" t="str">
        <f>IF($L$14=1,Preisliste!$E$7,Preisliste!$F$7)</f>
        <v>H251000</v>
      </c>
      <c r="G212" s="988" t="str">
        <f>VLOOKUP("Dammbalken 25/200 exkl. Dichtung, gesägt und entgratet",Sprachindex!$A:$Z,Haftungsausschluß!$O$6,FALSE) &amp; " (" &amp; ROUNDUP(C212/1000*2.99,2) &amp; " " &amp; VLOOKUP("kg/Stk",Sprachindex!$A:$Z,Haftungsausschluß!$O$6,FALSE) &amp; ")" &amp; IF('Kalkulation 1'!$AH$33," " &amp; 'Kalkulation 1'!$R$9,"")</f>
        <v>Dammbalken 25/200 exkl. Dichtung, gesägt und entgratet (0 kg/Stk)</v>
      </c>
      <c r="H212" s="989"/>
      <c r="I212" s="989"/>
      <c r="J212" s="989"/>
      <c r="K212" s="989"/>
      <c r="L212" s="989"/>
      <c r="M212" s="990"/>
      <c r="N212" s="313"/>
      <c r="O212" s="426">
        <f t="shared" si="10"/>
        <v>0</v>
      </c>
      <c r="P212" s="286"/>
    </row>
    <row r="213" spans="2:16" ht="32.1" hidden="1" customHeight="1">
      <c r="B213" s="556"/>
      <c r="C213" s="312">
        <v>0</v>
      </c>
      <c r="D213" s="317">
        <f t="shared" si="9"/>
        <v>0</v>
      </c>
      <c r="E213" s="318" t="str">
        <f>VLOOKUP("[m]",Sprachindex!$A:$Z,Haftungsausschluß!$O$6,FALSE)</f>
        <v>[m]</v>
      </c>
      <c r="F213" s="318" t="str">
        <f>IF($L$14=1,Preisliste!$E$7,Preisliste!$F$7)</f>
        <v>H251000</v>
      </c>
      <c r="G213" s="988" t="str">
        <f>VLOOKUP("Dammbalken 25/200 exkl. Dichtung, gesägt und entgratet",Sprachindex!$A:$Z,Haftungsausschluß!$O$6,FALSE) &amp; " (" &amp; ROUNDUP(C213/1000*2.99,2) &amp; " " &amp; VLOOKUP("kg/Stk",Sprachindex!$A:$Z,Haftungsausschluß!$O$6,FALSE) &amp; ")" &amp; IF('Kalkulation 1'!$AH$33," " &amp; 'Kalkulation 1'!$R$9,"")</f>
        <v>Dammbalken 25/200 exkl. Dichtung, gesägt und entgratet (0 kg/Stk)</v>
      </c>
      <c r="H213" s="989"/>
      <c r="I213" s="989"/>
      <c r="J213" s="989"/>
      <c r="K213" s="989"/>
      <c r="L213" s="989"/>
      <c r="M213" s="990"/>
      <c r="N213" s="313"/>
      <c r="O213" s="426">
        <f t="shared" si="10"/>
        <v>0</v>
      </c>
      <c r="P213" s="286"/>
    </row>
    <row r="214" spans="2:16" ht="32.1" hidden="1" customHeight="1">
      <c r="B214" s="556"/>
      <c r="C214" s="312">
        <v>0</v>
      </c>
      <c r="D214" s="317">
        <f t="shared" si="9"/>
        <v>0</v>
      </c>
      <c r="E214" s="318" t="str">
        <f>VLOOKUP("[m]",Sprachindex!$A:$Z,Haftungsausschluß!$O$6,FALSE)</f>
        <v>[m]</v>
      </c>
      <c r="F214" s="318" t="str">
        <f>IF($L$14=1,Preisliste!$E$7,Preisliste!$F$7)</f>
        <v>H251000</v>
      </c>
      <c r="G214" s="988" t="str">
        <f>VLOOKUP("Dammbalken 25/200 exkl. Dichtung, gesägt und entgratet",Sprachindex!$A:$Z,Haftungsausschluß!$O$6,FALSE) &amp; " (" &amp; ROUNDUP(C214/1000*2.99,2) &amp; " " &amp; VLOOKUP("kg/Stk",Sprachindex!$A:$Z,Haftungsausschluß!$O$6,FALSE) &amp; ")" &amp; IF('Kalkulation 1'!$AH$33," " &amp; 'Kalkulation 1'!$R$9,"")</f>
        <v>Dammbalken 25/200 exkl. Dichtung, gesägt und entgratet (0 kg/Stk)</v>
      </c>
      <c r="H214" s="989"/>
      <c r="I214" s="989"/>
      <c r="J214" s="989"/>
      <c r="K214" s="989"/>
      <c r="L214" s="989"/>
      <c r="M214" s="990"/>
      <c r="N214" s="313"/>
      <c r="O214" s="426">
        <f t="shared" si="10"/>
        <v>0</v>
      </c>
      <c r="P214" s="286"/>
    </row>
    <row r="215" spans="2:16" ht="32.1" hidden="1" customHeight="1">
      <c r="B215" s="556"/>
      <c r="C215" s="312">
        <v>0</v>
      </c>
      <c r="D215" s="317">
        <f t="shared" si="9"/>
        <v>0</v>
      </c>
      <c r="E215" s="318" t="str">
        <f>VLOOKUP("[m]",Sprachindex!$A:$Z,Haftungsausschluß!$O$6,FALSE)</f>
        <v>[m]</v>
      </c>
      <c r="F215" s="318" t="str">
        <f>IF($L$14=1,Preisliste!$E$7,Preisliste!$F$7)</f>
        <v>H251000</v>
      </c>
      <c r="G215" s="988" t="str">
        <f>VLOOKUP("Dammbalken 25/200 exkl. Dichtung, gesägt und entgratet",Sprachindex!$A:$Z,Haftungsausschluß!$O$6,FALSE) &amp; " (" &amp; ROUNDUP(C215/1000*2.99,2) &amp; " " &amp; VLOOKUP("kg/Stk",Sprachindex!$A:$Z,Haftungsausschluß!$O$6,FALSE) &amp; ")" &amp; IF('Kalkulation 1'!$AH$33," " &amp; 'Kalkulation 1'!$R$9,"")</f>
        <v>Dammbalken 25/200 exkl. Dichtung, gesägt und entgratet (0 kg/Stk)</v>
      </c>
      <c r="H215" s="989"/>
      <c r="I215" s="989"/>
      <c r="J215" s="989"/>
      <c r="K215" s="989"/>
      <c r="L215" s="989"/>
      <c r="M215" s="990"/>
      <c r="N215" s="313"/>
      <c r="O215" s="426">
        <f t="shared" si="10"/>
        <v>0</v>
      </c>
      <c r="P215" s="286"/>
    </row>
    <row r="216" spans="2:16" ht="32.1" hidden="1" customHeight="1">
      <c r="B216" s="556"/>
      <c r="C216" s="312">
        <v>0</v>
      </c>
      <c r="D216" s="317">
        <f t="shared" si="9"/>
        <v>0</v>
      </c>
      <c r="E216" s="318" t="str">
        <f>VLOOKUP("[m]",Sprachindex!$A:$Z,Haftungsausschluß!$O$6,FALSE)</f>
        <v>[m]</v>
      </c>
      <c r="F216" s="318" t="str">
        <f>IF($L$14=1,Preisliste!$E$7,Preisliste!$F$7)</f>
        <v>H251000</v>
      </c>
      <c r="G216" s="988" t="str">
        <f>VLOOKUP("Dammbalken 25/200 exkl. Dichtung, gesägt und entgratet",Sprachindex!$A:$Z,Haftungsausschluß!$O$6,FALSE) &amp; " (" &amp; ROUNDUP(C216/1000*2.99,2) &amp; " " &amp; VLOOKUP("kg/Stk",Sprachindex!$A:$Z,Haftungsausschluß!$O$6,FALSE) &amp; ")" &amp; IF('Kalkulation 1'!$AH$33," " &amp; 'Kalkulation 1'!$R$9,"")</f>
        <v>Dammbalken 25/200 exkl. Dichtung, gesägt und entgratet (0 kg/Stk)</v>
      </c>
      <c r="H216" s="989"/>
      <c r="I216" s="989"/>
      <c r="J216" s="989"/>
      <c r="K216" s="989"/>
      <c r="L216" s="989"/>
      <c r="M216" s="990"/>
      <c r="N216" s="313"/>
      <c r="O216" s="426">
        <f t="shared" si="10"/>
        <v>0</v>
      </c>
      <c r="P216" s="286"/>
    </row>
    <row r="217" spans="2:16" ht="32.1" hidden="1" customHeight="1">
      <c r="B217" s="556"/>
      <c r="C217" s="312">
        <v>0</v>
      </c>
      <c r="D217" s="317">
        <f t="shared" si="9"/>
        <v>0</v>
      </c>
      <c r="E217" s="318" t="str">
        <f>VLOOKUP("[m]",Sprachindex!$A:$Z,Haftungsausschluß!$O$6,FALSE)</f>
        <v>[m]</v>
      </c>
      <c r="F217" s="318" t="str">
        <f>IF($L$14=1,Preisliste!$E$7,Preisliste!$F$7)</f>
        <v>H251000</v>
      </c>
      <c r="G217" s="988" t="str">
        <f>VLOOKUP("Dammbalken 25/200 exkl. Dichtung, gesägt und entgratet",Sprachindex!$A:$Z,Haftungsausschluß!$O$6,FALSE) &amp; " (" &amp; ROUNDUP(C217/1000*2.99,2) &amp; " " &amp; VLOOKUP("kg/Stk",Sprachindex!$A:$Z,Haftungsausschluß!$O$6,FALSE) &amp; ")" &amp; IF('Kalkulation 1'!$AH$33," " &amp; 'Kalkulation 1'!$R$9,"")</f>
        <v>Dammbalken 25/200 exkl. Dichtung, gesägt und entgratet (0 kg/Stk)</v>
      </c>
      <c r="H217" s="989"/>
      <c r="I217" s="989"/>
      <c r="J217" s="989"/>
      <c r="K217" s="989"/>
      <c r="L217" s="989"/>
      <c r="M217" s="990"/>
      <c r="N217" s="313"/>
      <c r="O217" s="426">
        <f t="shared" si="10"/>
        <v>0</v>
      </c>
      <c r="P217" s="286"/>
    </row>
    <row r="218" spans="2:16" ht="32.1" hidden="1" customHeight="1">
      <c r="B218" s="556"/>
      <c r="C218" s="312">
        <v>0</v>
      </c>
      <c r="D218" s="317">
        <f t="shared" si="9"/>
        <v>0</v>
      </c>
      <c r="E218" s="318" t="str">
        <f>VLOOKUP("[m]",Sprachindex!$A:$Z,Haftungsausschluß!$O$6,FALSE)</f>
        <v>[m]</v>
      </c>
      <c r="F218" s="318" t="str">
        <f>IF($L$14=1,Preisliste!$E$7,Preisliste!$F$7)</f>
        <v>H251000</v>
      </c>
      <c r="G218" s="988" t="str">
        <f>VLOOKUP("Dammbalken 25/200 exkl. Dichtung, gesägt und entgratet",Sprachindex!$A:$Z,Haftungsausschluß!$O$6,FALSE) &amp; " (" &amp; ROUNDUP(C218/1000*2.99,2) &amp; " " &amp; VLOOKUP("kg/Stk",Sprachindex!$A:$Z,Haftungsausschluß!$O$6,FALSE) &amp; ")" &amp; IF('Kalkulation 1'!$AH$33," " &amp; 'Kalkulation 1'!$R$9,"")</f>
        <v>Dammbalken 25/200 exkl. Dichtung, gesägt und entgratet (0 kg/Stk)</v>
      </c>
      <c r="H218" s="989"/>
      <c r="I218" s="989"/>
      <c r="J218" s="989"/>
      <c r="K218" s="989"/>
      <c r="L218" s="989"/>
      <c r="M218" s="990"/>
      <c r="N218" s="313"/>
      <c r="O218" s="426">
        <f t="shared" si="10"/>
        <v>0</v>
      </c>
      <c r="P218" s="286"/>
    </row>
    <row r="219" spans="2:16" ht="32.1" hidden="1" customHeight="1">
      <c r="B219" s="556"/>
      <c r="C219" s="312">
        <v>0</v>
      </c>
      <c r="D219" s="317">
        <f t="shared" si="9"/>
        <v>0</v>
      </c>
      <c r="E219" s="318" t="str">
        <f>VLOOKUP("[m]",Sprachindex!$A:$Z,Haftungsausschluß!$O$6,FALSE)</f>
        <v>[m]</v>
      </c>
      <c r="F219" s="318" t="str">
        <f>IF($L$14=1,Preisliste!$E$7,Preisliste!$F$7)</f>
        <v>H251000</v>
      </c>
      <c r="G219" s="988" t="str">
        <f>VLOOKUP("Dammbalken 25/200 exkl. Dichtung, gesägt und entgratet",Sprachindex!$A:$Z,Haftungsausschluß!$O$6,FALSE) &amp; " (" &amp; ROUNDUP(C219/1000*2.99,2) &amp; " " &amp; VLOOKUP("kg/Stk",Sprachindex!$A:$Z,Haftungsausschluß!$O$6,FALSE) &amp; ")" &amp; IF('Kalkulation 1'!$AH$33," " &amp; 'Kalkulation 1'!$R$9,"")</f>
        <v>Dammbalken 25/200 exkl. Dichtung, gesägt und entgratet (0 kg/Stk)</v>
      </c>
      <c r="H219" s="989"/>
      <c r="I219" s="989"/>
      <c r="J219" s="989"/>
      <c r="K219" s="989"/>
      <c r="L219" s="989"/>
      <c r="M219" s="990"/>
      <c r="N219" s="313"/>
      <c r="O219" s="426">
        <f t="shared" si="10"/>
        <v>0</v>
      </c>
      <c r="P219" s="286"/>
    </row>
    <row r="220" spans="2:16" ht="32.1" hidden="1" customHeight="1">
      <c r="B220" s="556"/>
      <c r="C220" s="312">
        <v>0</v>
      </c>
      <c r="D220" s="317">
        <f t="shared" si="9"/>
        <v>0</v>
      </c>
      <c r="E220" s="318" t="str">
        <f>VLOOKUP("[m]",Sprachindex!$A:$Z,Haftungsausschluß!$O$6,FALSE)</f>
        <v>[m]</v>
      </c>
      <c r="F220" s="318" t="str">
        <f>IF($L$14=1,Preisliste!$E$7,Preisliste!$F$7)</f>
        <v>H251000</v>
      </c>
      <c r="G220" s="988" t="str">
        <f>VLOOKUP("Dammbalken 25/200 exkl. Dichtung, gesägt und entgratet",Sprachindex!$A:$Z,Haftungsausschluß!$O$6,FALSE) &amp; " (" &amp; ROUNDUP(C220/1000*2.99,2) &amp; " " &amp; VLOOKUP("kg/Stk",Sprachindex!$A:$Z,Haftungsausschluß!$O$6,FALSE) &amp; ")" &amp; IF('Kalkulation 1'!$AH$33," " &amp; 'Kalkulation 1'!$R$9,"")</f>
        <v>Dammbalken 25/200 exkl. Dichtung, gesägt und entgratet (0 kg/Stk)</v>
      </c>
      <c r="H220" s="989"/>
      <c r="I220" s="989"/>
      <c r="J220" s="989"/>
      <c r="K220" s="989"/>
      <c r="L220" s="989"/>
      <c r="M220" s="990"/>
      <c r="N220" s="313"/>
      <c r="O220" s="426">
        <f t="shared" si="10"/>
        <v>0</v>
      </c>
      <c r="P220" s="286"/>
    </row>
    <row r="221" spans="2:16" ht="32.1" hidden="1" customHeight="1">
      <c r="B221" s="556"/>
      <c r="C221" s="312">
        <v>0</v>
      </c>
      <c r="D221" s="317">
        <f t="shared" si="9"/>
        <v>0</v>
      </c>
      <c r="E221" s="318" t="str">
        <f>VLOOKUP("[m]",Sprachindex!$A:$Z,Haftungsausschluß!$O$6,FALSE)</f>
        <v>[m]</v>
      </c>
      <c r="F221" s="318" t="str">
        <f>IF($L$14=1,Preisliste!$E$7,Preisliste!$F$7)</f>
        <v>H251000</v>
      </c>
      <c r="G221" s="988" t="str">
        <f>VLOOKUP("Dammbalken 25/200 exkl. Dichtung, gesägt und entgratet",Sprachindex!$A:$Z,Haftungsausschluß!$O$6,FALSE) &amp; " (" &amp; ROUNDUP(C221/1000*2.99,2) &amp; " " &amp; VLOOKUP("kg/Stk",Sprachindex!$A:$Z,Haftungsausschluß!$O$6,FALSE) &amp; ")" &amp; IF('Kalkulation 1'!$AH$33," " &amp; 'Kalkulation 1'!$R$9,"")</f>
        <v>Dammbalken 25/200 exkl. Dichtung, gesägt und entgratet (0 kg/Stk)</v>
      </c>
      <c r="H221" s="989"/>
      <c r="I221" s="989"/>
      <c r="J221" s="989"/>
      <c r="K221" s="989"/>
      <c r="L221" s="989"/>
      <c r="M221" s="990"/>
      <c r="N221" s="313"/>
      <c r="O221" s="426">
        <f t="shared" si="10"/>
        <v>0</v>
      </c>
      <c r="P221" s="286"/>
    </row>
    <row r="222" spans="2:16" ht="32.1" hidden="1" customHeight="1">
      <c r="B222" s="556"/>
      <c r="C222" s="312">
        <v>0</v>
      </c>
      <c r="D222" s="317">
        <f t="shared" si="9"/>
        <v>0</v>
      </c>
      <c r="E222" s="318" t="str">
        <f>VLOOKUP("[m]",Sprachindex!$A:$Z,Haftungsausschluß!$O$6,FALSE)</f>
        <v>[m]</v>
      </c>
      <c r="F222" s="318" t="str">
        <f>IF($L$14=1,Preisliste!$E$7,Preisliste!$F$7)</f>
        <v>H251000</v>
      </c>
      <c r="G222" s="988" t="str">
        <f>VLOOKUP("Dammbalken 25/200 exkl. Dichtung, gesägt und entgratet",Sprachindex!$A:$Z,Haftungsausschluß!$O$6,FALSE) &amp; " (" &amp; ROUNDUP(C222/1000*2.99,2) &amp; " " &amp; VLOOKUP("kg/Stk",Sprachindex!$A:$Z,Haftungsausschluß!$O$6,FALSE) &amp; ")" &amp; IF('Kalkulation 1'!$AH$33," " &amp; 'Kalkulation 1'!$R$9,"")</f>
        <v>Dammbalken 25/200 exkl. Dichtung, gesägt und entgratet (0 kg/Stk)</v>
      </c>
      <c r="H222" s="989"/>
      <c r="I222" s="989"/>
      <c r="J222" s="989"/>
      <c r="K222" s="989"/>
      <c r="L222" s="989"/>
      <c r="M222" s="990"/>
      <c r="N222" s="313"/>
      <c r="O222" s="426">
        <f t="shared" si="10"/>
        <v>0</v>
      </c>
      <c r="P222" s="286"/>
    </row>
    <row r="223" spans="2:16" ht="32.1" hidden="1" customHeight="1">
      <c r="B223" s="556"/>
      <c r="C223" s="312">
        <v>0</v>
      </c>
      <c r="D223" s="317">
        <f t="shared" si="9"/>
        <v>0</v>
      </c>
      <c r="E223" s="318" t="str">
        <f>VLOOKUP("[m]",Sprachindex!$A:$Z,Haftungsausschluß!$O$6,FALSE)</f>
        <v>[m]</v>
      </c>
      <c r="F223" s="318" t="str">
        <f>IF($L$14=1,Preisliste!$E$7,Preisliste!$F$7)</f>
        <v>H251000</v>
      </c>
      <c r="G223" s="988" t="str">
        <f>VLOOKUP("Dammbalken 25/200 exkl. Dichtung, gesägt und entgratet",Sprachindex!$A:$Z,Haftungsausschluß!$O$6,FALSE) &amp; " (" &amp; ROUNDUP(C223/1000*2.99,2) &amp; " " &amp; VLOOKUP("kg/Stk",Sprachindex!$A:$Z,Haftungsausschluß!$O$6,FALSE) &amp; ")" &amp; IF('Kalkulation 1'!$AH$33," " &amp; 'Kalkulation 1'!$R$9,"")</f>
        <v>Dammbalken 25/200 exkl. Dichtung, gesägt und entgratet (0 kg/Stk)</v>
      </c>
      <c r="H223" s="989"/>
      <c r="I223" s="989"/>
      <c r="J223" s="989"/>
      <c r="K223" s="989"/>
      <c r="L223" s="989"/>
      <c r="M223" s="990"/>
      <c r="N223" s="313"/>
      <c r="O223" s="426">
        <f t="shared" si="10"/>
        <v>0</v>
      </c>
      <c r="P223" s="286"/>
    </row>
    <row r="224" spans="2:16" ht="32.1" hidden="1" customHeight="1">
      <c r="B224" s="556"/>
      <c r="C224" s="312">
        <v>0</v>
      </c>
      <c r="D224" s="317">
        <f t="shared" si="9"/>
        <v>0</v>
      </c>
      <c r="E224" s="318" t="str">
        <f>VLOOKUP("[m]",Sprachindex!$A:$Z,Haftungsausschluß!$O$6,FALSE)</f>
        <v>[m]</v>
      </c>
      <c r="F224" s="318" t="str">
        <f>IF($L$14=1,Preisliste!$E$7,Preisliste!$F$7)</f>
        <v>H251000</v>
      </c>
      <c r="G224" s="988" t="str">
        <f>VLOOKUP("Dammbalken 25/200 exkl. Dichtung, gesägt und entgratet",Sprachindex!$A:$Z,Haftungsausschluß!$O$6,FALSE) &amp; " (" &amp; ROUNDUP(C224/1000*2.99,2) &amp; " " &amp; VLOOKUP("kg/Stk",Sprachindex!$A:$Z,Haftungsausschluß!$O$6,FALSE) &amp; ")" &amp; IF('Kalkulation 1'!$AH$33," " &amp; 'Kalkulation 1'!$R$9,"")</f>
        <v>Dammbalken 25/200 exkl. Dichtung, gesägt und entgratet (0 kg/Stk)</v>
      </c>
      <c r="H224" s="989"/>
      <c r="I224" s="989"/>
      <c r="J224" s="989"/>
      <c r="K224" s="989"/>
      <c r="L224" s="989"/>
      <c r="M224" s="990"/>
      <c r="N224" s="313"/>
      <c r="O224" s="426">
        <f t="shared" si="10"/>
        <v>0</v>
      </c>
      <c r="P224" s="286"/>
    </row>
    <row r="225" spans="2:16" ht="32.1" hidden="1" customHeight="1">
      <c r="B225" s="556"/>
      <c r="C225" s="312">
        <v>0</v>
      </c>
      <c r="D225" s="317">
        <f t="shared" si="9"/>
        <v>0</v>
      </c>
      <c r="E225" s="318" t="str">
        <f>VLOOKUP("[m]",Sprachindex!$A:$Z,Haftungsausschluß!$O$6,FALSE)</f>
        <v>[m]</v>
      </c>
      <c r="F225" s="318" t="str">
        <f>IF($L$14=1,Preisliste!$E$7,Preisliste!$F$7)</f>
        <v>H251000</v>
      </c>
      <c r="G225" s="988" t="str">
        <f>VLOOKUP("Dammbalken 25/200 exkl. Dichtung, gesägt und entgratet",Sprachindex!$A:$Z,Haftungsausschluß!$O$6,FALSE) &amp; " (" &amp; ROUNDUP(C225/1000*2.99,2) &amp; " " &amp; VLOOKUP("kg/Stk",Sprachindex!$A:$Z,Haftungsausschluß!$O$6,FALSE) &amp; ")" &amp; IF('Kalkulation 1'!$AH$33," " &amp; 'Kalkulation 1'!$R$9,"")</f>
        <v>Dammbalken 25/200 exkl. Dichtung, gesägt und entgratet (0 kg/Stk)</v>
      </c>
      <c r="H225" s="989"/>
      <c r="I225" s="989"/>
      <c r="J225" s="989"/>
      <c r="K225" s="989"/>
      <c r="L225" s="989"/>
      <c r="M225" s="990"/>
      <c r="N225" s="313"/>
      <c r="O225" s="426">
        <f t="shared" si="10"/>
        <v>0</v>
      </c>
      <c r="P225" s="286"/>
    </row>
    <row r="226" spans="2:16" ht="32.1" hidden="1" customHeight="1">
      <c r="B226" s="556"/>
      <c r="C226" s="312">
        <v>0</v>
      </c>
      <c r="D226" s="317">
        <f t="shared" si="9"/>
        <v>0</v>
      </c>
      <c r="E226" s="318" t="str">
        <f>VLOOKUP("[m]",Sprachindex!$A:$Z,Haftungsausschluß!$O$6,FALSE)</f>
        <v>[m]</v>
      </c>
      <c r="F226" s="318" t="str">
        <f>IF($L$14=1,Preisliste!$E$7,Preisliste!$F$7)</f>
        <v>H251000</v>
      </c>
      <c r="G226" s="988" t="str">
        <f>VLOOKUP("Dammbalken 25/200 exkl. Dichtung, gesägt und entgratet",Sprachindex!$A:$Z,Haftungsausschluß!$O$6,FALSE) &amp; " (" &amp; ROUNDUP(C226/1000*2.99,2) &amp; " " &amp; VLOOKUP("kg/Stk",Sprachindex!$A:$Z,Haftungsausschluß!$O$6,FALSE) &amp; ")" &amp; IF('Kalkulation 1'!$AH$33," " &amp; 'Kalkulation 1'!$R$9,"")</f>
        <v>Dammbalken 25/200 exkl. Dichtung, gesägt und entgratet (0 kg/Stk)</v>
      </c>
      <c r="H226" s="989"/>
      <c r="I226" s="989"/>
      <c r="J226" s="989"/>
      <c r="K226" s="989"/>
      <c r="L226" s="989"/>
      <c r="M226" s="990"/>
      <c r="N226" s="313"/>
      <c r="O226" s="426">
        <f t="shared" si="10"/>
        <v>0</v>
      </c>
      <c r="P226" s="286"/>
    </row>
    <row r="227" spans="2:16" ht="32.1" hidden="1" customHeight="1">
      <c r="B227" s="556"/>
      <c r="C227" s="312">
        <v>0</v>
      </c>
      <c r="D227" s="317">
        <f t="shared" si="9"/>
        <v>0</v>
      </c>
      <c r="E227" s="318" t="str">
        <f>VLOOKUP("[m]",Sprachindex!$A:$Z,Haftungsausschluß!$O$6,FALSE)</f>
        <v>[m]</v>
      </c>
      <c r="F227" s="318" t="str">
        <f>IF($L$14=1,Preisliste!$E$7,Preisliste!$F$7)</f>
        <v>H251000</v>
      </c>
      <c r="G227" s="988" t="str">
        <f>VLOOKUP("Dammbalken 25/200 exkl. Dichtung, gesägt und entgratet",Sprachindex!$A:$Z,Haftungsausschluß!$O$6,FALSE) &amp; " (" &amp; ROUNDUP(C227/1000*2.99,2) &amp; " " &amp; VLOOKUP("kg/Stk",Sprachindex!$A:$Z,Haftungsausschluß!$O$6,FALSE) &amp; ")" &amp; IF('Kalkulation 1'!$AH$33," " &amp; 'Kalkulation 1'!$R$9,"")</f>
        <v>Dammbalken 25/200 exkl. Dichtung, gesägt und entgratet (0 kg/Stk)</v>
      </c>
      <c r="H227" s="989"/>
      <c r="I227" s="989"/>
      <c r="J227" s="989"/>
      <c r="K227" s="989"/>
      <c r="L227" s="989"/>
      <c r="M227" s="990"/>
      <c r="N227" s="313"/>
      <c r="O227" s="426">
        <f t="shared" si="10"/>
        <v>0</v>
      </c>
      <c r="P227" s="286"/>
    </row>
    <row r="228" spans="2:16" ht="32.1" hidden="1" customHeight="1">
      <c r="B228" s="556"/>
      <c r="C228" s="312">
        <v>0</v>
      </c>
      <c r="D228" s="317">
        <f t="shared" si="9"/>
        <v>0</v>
      </c>
      <c r="E228" s="318" t="str">
        <f>VLOOKUP("[m]",Sprachindex!$A:$Z,Haftungsausschluß!$O$6,FALSE)</f>
        <v>[m]</v>
      </c>
      <c r="F228" s="318" t="str">
        <f>IF($L$14=1,Preisliste!$E$7,Preisliste!$F$7)</f>
        <v>H251000</v>
      </c>
      <c r="G228" s="988" t="str">
        <f>VLOOKUP("Dammbalken 25/200 exkl. Dichtung, gesägt und entgratet",Sprachindex!$A:$Z,Haftungsausschluß!$O$6,FALSE) &amp; " (" &amp; ROUNDUP(C228/1000*2.99,2) &amp; " " &amp; VLOOKUP("kg/Stk",Sprachindex!$A:$Z,Haftungsausschluß!$O$6,FALSE) &amp; ")" &amp; IF('Kalkulation 1'!$AH$33," " &amp; 'Kalkulation 1'!$R$9,"")</f>
        <v>Dammbalken 25/200 exkl. Dichtung, gesägt und entgratet (0 kg/Stk)</v>
      </c>
      <c r="H228" s="989"/>
      <c r="I228" s="989"/>
      <c r="J228" s="989"/>
      <c r="K228" s="989"/>
      <c r="L228" s="989"/>
      <c r="M228" s="990"/>
      <c r="N228" s="313"/>
      <c r="O228" s="426">
        <f t="shared" si="10"/>
        <v>0</v>
      </c>
      <c r="P228" s="286"/>
    </row>
    <row r="229" spans="2:16" ht="32.1" hidden="1" customHeight="1">
      <c r="B229" s="556"/>
      <c r="C229" s="312">
        <v>0</v>
      </c>
      <c r="D229" s="317">
        <f t="shared" si="9"/>
        <v>0</v>
      </c>
      <c r="E229" s="318" t="str">
        <f>VLOOKUP("[m]",Sprachindex!$A:$Z,Haftungsausschluß!$O$6,FALSE)</f>
        <v>[m]</v>
      </c>
      <c r="F229" s="318" t="str">
        <f>IF($L$14=1,Preisliste!$E$7,Preisliste!$F$7)</f>
        <v>H251000</v>
      </c>
      <c r="G229" s="988" t="str">
        <f>VLOOKUP("Dammbalken 25/200 exkl. Dichtung, gesägt und entgratet",Sprachindex!$A:$Z,Haftungsausschluß!$O$6,FALSE) &amp; " (" &amp; ROUNDUP(C229/1000*2.99,2) &amp; " " &amp; VLOOKUP("kg/Stk",Sprachindex!$A:$Z,Haftungsausschluß!$O$6,FALSE) &amp; ")" &amp; IF('Kalkulation 1'!$AH$33," " &amp; 'Kalkulation 1'!$R$9,"")</f>
        <v>Dammbalken 25/200 exkl. Dichtung, gesägt und entgratet (0 kg/Stk)</v>
      </c>
      <c r="H229" s="989"/>
      <c r="I229" s="989"/>
      <c r="J229" s="989"/>
      <c r="K229" s="989"/>
      <c r="L229" s="989"/>
      <c r="M229" s="990"/>
      <c r="N229" s="313"/>
      <c r="O229" s="426">
        <f t="shared" si="10"/>
        <v>0</v>
      </c>
      <c r="P229" s="286"/>
    </row>
    <row r="230" spans="2:16" ht="32.1" hidden="1" customHeight="1">
      <c r="B230" s="556"/>
      <c r="C230" s="312">
        <v>0</v>
      </c>
      <c r="D230" s="317">
        <f t="shared" si="9"/>
        <v>0</v>
      </c>
      <c r="E230" s="318" t="str">
        <f>VLOOKUP("[m]",Sprachindex!$A:$Z,Haftungsausschluß!$O$6,FALSE)</f>
        <v>[m]</v>
      </c>
      <c r="F230" s="318" t="str">
        <f>IF($L$14=1,Preisliste!$E$7,Preisliste!$F$7)</f>
        <v>H251000</v>
      </c>
      <c r="G230" s="988" t="str">
        <f>VLOOKUP("Dammbalken 25/200 exkl. Dichtung, gesägt und entgratet",Sprachindex!$A:$Z,Haftungsausschluß!$O$6,FALSE) &amp; " (" &amp; ROUNDUP(C230/1000*2.99,2) &amp; " " &amp; VLOOKUP("kg/Stk",Sprachindex!$A:$Z,Haftungsausschluß!$O$6,FALSE) &amp; ")" &amp; IF('Kalkulation 1'!$AH$33," " &amp; 'Kalkulation 1'!$R$9,"")</f>
        <v>Dammbalken 25/200 exkl. Dichtung, gesägt und entgratet (0 kg/Stk)</v>
      </c>
      <c r="H230" s="989"/>
      <c r="I230" s="989"/>
      <c r="J230" s="989"/>
      <c r="K230" s="989"/>
      <c r="L230" s="989"/>
      <c r="M230" s="990"/>
      <c r="N230" s="313"/>
      <c r="O230" s="426">
        <f t="shared" si="10"/>
        <v>0</v>
      </c>
      <c r="P230" s="286"/>
    </row>
    <row r="231" spans="2:16" ht="32.1" hidden="1" customHeight="1">
      <c r="B231" s="556"/>
      <c r="C231" s="312">
        <v>0</v>
      </c>
      <c r="D231" s="317">
        <f t="shared" si="9"/>
        <v>0</v>
      </c>
      <c r="E231" s="318" t="str">
        <f>VLOOKUP("[m]",Sprachindex!$A:$Z,Haftungsausschluß!$O$6,FALSE)</f>
        <v>[m]</v>
      </c>
      <c r="F231" s="318" t="str">
        <f>IF($L$14=1,Preisliste!$E$7,Preisliste!$F$7)</f>
        <v>H251000</v>
      </c>
      <c r="G231" s="988" t="str">
        <f>VLOOKUP("Dammbalken 25/200 exkl. Dichtung, gesägt und entgratet",Sprachindex!$A:$Z,Haftungsausschluß!$O$6,FALSE) &amp; " (" &amp; ROUNDUP(C231/1000*2.99,2) &amp; " " &amp; VLOOKUP("kg/Stk",Sprachindex!$A:$Z,Haftungsausschluß!$O$6,FALSE) &amp; ")" &amp; IF('Kalkulation 1'!$AH$33," " &amp; 'Kalkulation 1'!$R$9,"")</f>
        <v>Dammbalken 25/200 exkl. Dichtung, gesägt und entgratet (0 kg/Stk)</v>
      </c>
      <c r="H231" s="989"/>
      <c r="I231" s="989"/>
      <c r="J231" s="989"/>
      <c r="K231" s="989"/>
      <c r="L231" s="989"/>
      <c r="M231" s="990"/>
      <c r="N231" s="313"/>
      <c r="O231" s="426">
        <f t="shared" si="10"/>
        <v>0</v>
      </c>
      <c r="P231" s="286"/>
    </row>
    <row r="232" spans="2:16" ht="32.1" hidden="1" customHeight="1">
      <c r="B232" s="556"/>
      <c r="C232" s="312">
        <v>0</v>
      </c>
      <c r="D232" s="317">
        <f t="shared" si="9"/>
        <v>0</v>
      </c>
      <c r="E232" s="318" t="str">
        <f>VLOOKUP("[m]",Sprachindex!$A:$Z,Haftungsausschluß!$O$6,FALSE)</f>
        <v>[m]</v>
      </c>
      <c r="F232" s="318" t="str">
        <f>IF($L$14=1,Preisliste!$E$7,Preisliste!$F$7)</f>
        <v>H251000</v>
      </c>
      <c r="G232" s="988" t="str">
        <f>VLOOKUP("Dammbalken 25/200 exkl. Dichtung, gesägt und entgratet",Sprachindex!$A:$Z,Haftungsausschluß!$O$6,FALSE) &amp; " (" &amp; ROUNDUP(C232/1000*2.99,2) &amp; " " &amp; VLOOKUP("kg/Stk",Sprachindex!$A:$Z,Haftungsausschluß!$O$6,FALSE) &amp; ")" &amp; IF('Kalkulation 1'!$AH$33," " &amp; 'Kalkulation 1'!$R$9,"")</f>
        <v>Dammbalken 25/200 exkl. Dichtung, gesägt und entgratet (0 kg/Stk)</v>
      </c>
      <c r="H232" s="989"/>
      <c r="I232" s="989"/>
      <c r="J232" s="989"/>
      <c r="K232" s="989"/>
      <c r="L232" s="989"/>
      <c r="M232" s="990"/>
      <c r="N232" s="313"/>
      <c r="O232" s="426">
        <f t="shared" si="10"/>
        <v>0</v>
      </c>
      <c r="P232" s="286"/>
    </row>
    <row r="233" spans="2:16" ht="32.1" hidden="1" customHeight="1">
      <c r="B233" s="556"/>
      <c r="C233" s="312">
        <v>0</v>
      </c>
      <c r="D233" s="317">
        <f t="shared" si="9"/>
        <v>0</v>
      </c>
      <c r="E233" s="318" t="str">
        <f>VLOOKUP("[m]",Sprachindex!$A:$Z,Haftungsausschluß!$O$6,FALSE)</f>
        <v>[m]</v>
      </c>
      <c r="F233" s="318" t="str">
        <f>IF($L$14=1,Preisliste!$E$7,Preisliste!$F$7)</f>
        <v>H251000</v>
      </c>
      <c r="G233" s="988" t="str">
        <f>VLOOKUP("Dammbalken 25/200 exkl. Dichtung, gesägt und entgratet",Sprachindex!$A:$Z,Haftungsausschluß!$O$6,FALSE) &amp; " (" &amp; ROUNDUP(C233/1000*2.99,2) &amp; " " &amp; VLOOKUP("kg/Stk",Sprachindex!$A:$Z,Haftungsausschluß!$O$6,FALSE) &amp; ")" &amp; IF('Kalkulation 1'!$AH$33," " &amp; 'Kalkulation 1'!$R$9,"")</f>
        <v>Dammbalken 25/200 exkl. Dichtung, gesägt und entgratet (0 kg/Stk)</v>
      </c>
      <c r="H233" s="989"/>
      <c r="I233" s="989"/>
      <c r="J233" s="989"/>
      <c r="K233" s="989"/>
      <c r="L233" s="989"/>
      <c r="M233" s="990"/>
      <c r="N233" s="313"/>
      <c r="O233" s="426">
        <f t="shared" si="10"/>
        <v>0</v>
      </c>
      <c r="P233" s="286"/>
    </row>
    <row r="234" spans="2:16" ht="32.1" hidden="1" customHeight="1">
      <c r="B234" s="556"/>
      <c r="C234" s="312">
        <v>0</v>
      </c>
      <c r="D234" s="317">
        <f t="shared" si="9"/>
        <v>0</v>
      </c>
      <c r="E234" s="318" t="str">
        <f>VLOOKUP("[m]",Sprachindex!$A:$Z,Haftungsausschluß!$O$6,FALSE)</f>
        <v>[m]</v>
      </c>
      <c r="F234" s="318" t="str">
        <f>IF($L$14=1,Preisliste!$E$7,Preisliste!$F$7)</f>
        <v>H251000</v>
      </c>
      <c r="G234" s="988" t="str">
        <f>VLOOKUP("Dammbalken 25/200 exkl. Dichtung, gesägt und entgratet",Sprachindex!$A:$Z,Haftungsausschluß!$O$6,FALSE) &amp; " (" &amp; ROUNDUP(C234/1000*2.99,2) &amp; " " &amp; VLOOKUP("kg/Stk",Sprachindex!$A:$Z,Haftungsausschluß!$O$6,FALSE) &amp; ")" &amp; IF('Kalkulation 1'!$AH$33," " &amp; 'Kalkulation 1'!$R$9,"")</f>
        <v>Dammbalken 25/200 exkl. Dichtung, gesägt und entgratet (0 kg/Stk)</v>
      </c>
      <c r="H234" s="989"/>
      <c r="I234" s="989"/>
      <c r="J234" s="989"/>
      <c r="K234" s="989"/>
      <c r="L234" s="989"/>
      <c r="M234" s="990"/>
      <c r="N234" s="313"/>
      <c r="O234" s="426">
        <f t="shared" si="10"/>
        <v>0</v>
      </c>
      <c r="P234" s="286"/>
    </row>
    <row r="235" spans="2:16" ht="32.1" hidden="1" customHeight="1">
      <c r="B235" s="556"/>
      <c r="C235" s="312">
        <v>0</v>
      </c>
      <c r="D235" s="317">
        <f t="shared" si="9"/>
        <v>0</v>
      </c>
      <c r="E235" s="318" t="str">
        <f>VLOOKUP("[m]",Sprachindex!$A:$Z,Haftungsausschluß!$O$6,FALSE)</f>
        <v>[m]</v>
      </c>
      <c r="F235" s="318" t="str">
        <f>IF($L$14=1,Preisliste!$E$7,Preisliste!$F$7)</f>
        <v>H251000</v>
      </c>
      <c r="G235" s="988" t="str">
        <f>VLOOKUP("Dammbalken 25/200 exkl. Dichtung, gesägt und entgratet",Sprachindex!$A:$Z,Haftungsausschluß!$O$6,FALSE) &amp; " (" &amp; ROUNDUP(C235/1000*2.99,2) &amp; " " &amp; VLOOKUP("kg/Stk",Sprachindex!$A:$Z,Haftungsausschluß!$O$6,FALSE) &amp; ")" &amp; IF('Kalkulation 1'!$AH$33," " &amp; 'Kalkulation 1'!$R$9,"")</f>
        <v>Dammbalken 25/200 exkl. Dichtung, gesägt und entgratet (0 kg/Stk)</v>
      </c>
      <c r="H235" s="989"/>
      <c r="I235" s="989"/>
      <c r="J235" s="989"/>
      <c r="K235" s="989"/>
      <c r="L235" s="989"/>
      <c r="M235" s="990"/>
      <c r="N235" s="313"/>
      <c r="O235" s="426">
        <f t="shared" si="10"/>
        <v>0</v>
      </c>
      <c r="P235" s="286"/>
    </row>
    <row r="236" spans="2:16" ht="32.1" hidden="1" customHeight="1">
      <c r="B236" s="556"/>
      <c r="C236" s="312">
        <v>0</v>
      </c>
      <c r="D236" s="317">
        <f t="shared" si="9"/>
        <v>0</v>
      </c>
      <c r="E236" s="318" t="str">
        <f>VLOOKUP("[m]",Sprachindex!$A:$Z,Haftungsausschluß!$O$6,FALSE)</f>
        <v>[m]</v>
      </c>
      <c r="F236" s="318" t="str">
        <f>IF($L$14=1,Preisliste!$E$7,Preisliste!$F$7)</f>
        <v>H251000</v>
      </c>
      <c r="G236" s="988" t="str">
        <f>VLOOKUP("Dammbalken 25/200 exkl. Dichtung, gesägt und entgratet",Sprachindex!$A:$Z,Haftungsausschluß!$O$6,FALSE) &amp; " (" &amp; ROUNDUP(C236/1000*2.99,2) &amp; " " &amp; VLOOKUP("kg/Stk",Sprachindex!$A:$Z,Haftungsausschluß!$O$6,FALSE) &amp; ")" &amp; IF('Kalkulation 1'!$AH$33," " &amp; 'Kalkulation 1'!$R$9,"")</f>
        <v>Dammbalken 25/200 exkl. Dichtung, gesägt und entgratet (0 kg/Stk)</v>
      </c>
      <c r="H236" s="989"/>
      <c r="I236" s="989"/>
      <c r="J236" s="989"/>
      <c r="K236" s="989"/>
      <c r="L236" s="989"/>
      <c r="M236" s="990"/>
      <c r="N236" s="313"/>
      <c r="O236" s="426">
        <f t="shared" si="10"/>
        <v>0</v>
      </c>
      <c r="P236" s="286"/>
    </row>
    <row r="237" spans="2:16" ht="32.1" hidden="1" customHeight="1">
      <c r="B237" s="556"/>
      <c r="C237" s="312">
        <v>0</v>
      </c>
      <c r="D237" s="317">
        <f t="shared" si="9"/>
        <v>0</v>
      </c>
      <c r="E237" s="318" t="str">
        <f>VLOOKUP("[m]",Sprachindex!$A:$Z,Haftungsausschluß!$O$6,FALSE)</f>
        <v>[m]</v>
      </c>
      <c r="F237" s="318" t="str">
        <f>IF($L$14=1,Preisliste!$E$7,Preisliste!$F$7)</f>
        <v>H251000</v>
      </c>
      <c r="G237" s="988" t="str">
        <f>VLOOKUP("Dammbalken 25/200 exkl. Dichtung, gesägt und entgratet",Sprachindex!$A:$Z,Haftungsausschluß!$O$6,FALSE) &amp; " (" &amp; ROUNDUP(C237/1000*2.99,2) &amp; " " &amp; VLOOKUP("kg/Stk",Sprachindex!$A:$Z,Haftungsausschluß!$O$6,FALSE) &amp; ")" &amp; IF('Kalkulation 1'!$AH$33," " &amp; 'Kalkulation 1'!$R$9,"")</f>
        <v>Dammbalken 25/200 exkl. Dichtung, gesägt und entgratet (0 kg/Stk)</v>
      </c>
      <c r="H237" s="989"/>
      <c r="I237" s="989"/>
      <c r="J237" s="989"/>
      <c r="K237" s="989"/>
      <c r="L237" s="989"/>
      <c r="M237" s="990"/>
      <c r="N237" s="313"/>
      <c r="O237" s="426">
        <f t="shared" si="10"/>
        <v>0</v>
      </c>
      <c r="P237" s="286"/>
    </row>
    <row r="238" spans="2:16" ht="32.1" hidden="1" customHeight="1">
      <c r="B238" s="556"/>
      <c r="C238" s="312">
        <v>0</v>
      </c>
      <c r="D238" s="317">
        <f t="shared" si="9"/>
        <v>0</v>
      </c>
      <c r="E238" s="318" t="str">
        <f>VLOOKUP("[m]",Sprachindex!$A:$Z,Haftungsausschluß!$O$6,FALSE)</f>
        <v>[m]</v>
      </c>
      <c r="F238" s="318" t="str">
        <f>IF($L$14=1,Preisliste!$E$7,Preisliste!$F$7)</f>
        <v>H251000</v>
      </c>
      <c r="G238" s="988" t="str">
        <f>VLOOKUP("Dammbalken 25/200 exkl. Dichtung, gesägt und entgratet",Sprachindex!$A:$Z,Haftungsausschluß!$O$6,FALSE) &amp; " (" &amp; ROUNDUP(C238/1000*2.99,2) &amp; " " &amp; VLOOKUP("kg/Stk",Sprachindex!$A:$Z,Haftungsausschluß!$O$6,FALSE) &amp; ")" &amp; IF('Kalkulation 1'!$AH$33," " &amp; 'Kalkulation 1'!$R$9,"")</f>
        <v>Dammbalken 25/200 exkl. Dichtung, gesägt und entgratet (0 kg/Stk)</v>
      </c>
      <c r="H238" s="989"/>
      <c r="I238" s="989"/>
      <c r="J238" s="989"/>
      <c r="K238" s="989"/>
      <c r="L238" s="989"/>
      <c r="M238" s="990"/>
      <c r="N238" s="313"/>
      <c r="O238" s="426">
        <f t="shared" si="10"/>
        <v>0</v>
      </c>
      <c r="P238" s="286"/>
    </row>
    <row r="239" spans="2:16" ht="32.1" hidden="1" customHeight="1">
      <c r="B239" s="556"/>
      <c r="C239" s="312">
        <v>0</v>
      </c>
      <c r="D239" s="317">
        <f t="shared" si="9"/>
        <v>0</v>
      </c>
      <c r="E239" s="318" t="str">
        <f>VLOOKUP("[m]",Sprachindex!$A:$Z,Haftungsausschluß!$O$6,FALSE)</f>
        <v>[m]</v>
      </c>
      <c r="F239" s="318" t="str">
        <f>IF($L$14=1,Preisliste!$E$7,Preisliste!$F$7)</f>
        <v>H251000</v>
      </c>
      <c r="G239" s="988" t="str">
        <f>VLOOKUP("Dammbalken 25/200 exkl. Dichtung, gesägt und entgratet",Sprachindex!$A:$Z,Haftungsausschluß!$O$6,FALSE) &amp; " (" &amp; ROUNDUP(C239/1000*2.99,2) &amp; " " &amp; VLOOKUP("kg/Stk",Sprachindex!$A:$Z,Haftungsausschluß!$O$6,FALSE) &amp; ")" &amp; IF('Kalkulation 1'!$AH$33," " &amp; 'Kalkulation 1'!$R$9,"")</f>
        <v>Dammbalken 25/200 exkl. Dichtung, gesägt und entgratet (0 kg/Stk)</v>
      </c>
      <c r="H239" s="989"/>
      <c r="I239" s="989"/>
      <c r="J239" s="989"/>
      <c r="K239" s="989"/>
      <c r="L239" s="989"/>
      <c r="M239" s="990"/>
      <c r="N239" s="313"/>
      <c r="O239" s="426">
        <f t="shared" si="10"/>
        <v>0</v>
      </c>
      <c r="P239" s="286"/>
    </row>
    <row r="240" spans="2:16" ht="32.1" hidden="1" customHeight="1">
      <c r="B240" s="556"/>
      <c r="C240" s="312">
        <v>0</v>
      </c>
      <c r="D240" s="317">
        <f t="shared" si="9"/>
        <v>0</v>
      </c>
      <c r="E240" s="318" t="str">
        <f>VLOOKUP("[m]",Sprachindex!$A:$Z,Haftungsausschluß!$O$6,FALSE)</f>
        <v>[m]</v>
      </c>
      <c r="F240" s="318" t="str">
        <f>IF($L$14=1,Preisliste!$E$7,Preisliste!$F$7)</f>
        <v>H251000</v>
      </c>
      <c r="G240" s="988" t="str">
        <f>VLOOKUP("Dammbalken 25/200 exkl. Dichtung, gesägt und entgratet",Sprachindex!$A:$Z,Haftungsausschluß!$O$6,FALSE) &amp; " (" &amp; ROUNDUP(C240/1000*2.99,2) &amp; " " &amp; VLOOKUP("kg/Stk",Sprachindex!$A:$Z,Haftungsausschluß!$O$6,FALSE) &amp; ")" &amp; IF('Kalkulation 1'!$AH$33," " &amp; 'Kalkulation 1'!$R$9,"")</f>
        <v>Dammbalken 25/200 exkl. Dichtung, gesägt und entgratet (0 kg/Stk)</v>
      </c>
      <c r="H240" s="989"/>
      <c r="I240" s="989"/>
      <c r="J240" s="989"/>
      <c r="K240" s="989"/>
      <c r="L240" s="989"/>
      <c r="M240" s="990"/>
      <c r="N240" s="313"/>
      <c r="O240" s="426">
        <f t="shared" si="10"/>
        <v>0</v>
      </c>
      <c r="P240" s="286"/>
    </row>
    <row r="241" spans="2:16" ht="32.1" hidden="1" customHeight="1">
      <c r="B241" s="556"/>
      <c r="C241" s="312">
        <v>0</v>
      </c>
      <c r="D241" s="317">
        <f t="shared" si="9"/>
        <v>0</v>
      </c>
      <c r="E241" s="318" t="str">
        <f>VLOOKUP("[m]",Sprachindex!$A:$Z,Haftungsausschluß!$O$6,FALSE)</f>
        <v>[m]</v>
      </c>
      <c r="F241" s="318" t="str">
        <f>IF($L$14=1,Preisliste!$E$7,Preisliste!$F$7)</f>
        <v>H251000</v>
      </c>
      <c r="G241" s="988" t="str">
        <f>VLOOKUP("Dammbalken 25/200 exkl. Dichtung, gesägt und entgratet",Sprachindex!$A:$Z,Haftungsausschluß!$O$6,FALSE) &amp; " (" &amp; ROUNDUP(C241/1000*2.99,2) &amp; " " &amp; VLOOKUP("kg/Stk",Sprachindex!$A:$Z,Haftungsausschluß!$O$6,FALSE) &amp; ")" &amp; IF('Kalkulation 1'!$AH$33," " &amp; 'Kalkulation 1'!$R$9,"")</f>
        <v>Dammbalken 25/200 exkl. Dichtung, gesägt und entgratet (0 kg/Stk)</v>
      </c>
      <c r="H241" s="989"/>
      <c r="I241" s="989"/>
      <c r="J241" s="989"/>
      <c r="K241" s="989"/>
      <c r="L241" s="989"/>
      <c r="M241" s="990"/>
      <c r="N241" s="313"/>
      <c r="O241" s="426">
        <f t="shared" si="10"/>
        <v>0</v>
      </c>
      <c r="P241" s="286"/>
    </row>
    <row r="242" spans="2:16" ht="32.1" hidden="1" customHeight="1">
      <c r="B242" s="556"/>
      <c r="C242" s="312">
        <v>0</v>
      </c>
      <c r="D242" s="317">
        <f t="shared" si="9"/>
        <v>0</v>
      </c>
      <c r="E242" s="318" t="str">
        <f>VLOOKUP("[m]",Sprachindex!$A:$Z,Haftungsausschluß!$O$6,FALSE)</f>
        <v>[m]</v>
      </c>
      <c r="F242" s="318" t="str">
        <f>IF($L$14=1,Preisliste!$E$7,Preisliste!$F$7)</f>
        <v>H251000</v>
      </c>
      <c r="G242" s="988" t="str">
        <f>VLOOKUP("Dammbalken 25/200 exkl. Dichtung, gesägt und entgratet",Sprachindex!$A:$Z,Haftungsausschluß!$O$6,FALSE) &amp; " (" &amp; ROUNDUP(C242/1000*2.99,2) &amp; " " &amp; VLOOKUP("kg/Stk",Sprachindex!$A:$Z,Haftungsausschluß!$O$6,FALSE) &amp; ")" &amp; IF('Kalkulation 1'!$AH$33," " &amp; 'Kalkulation 1'!$R$9,"")</f>
        <v>Dammbalken 25/200 exkl. Dichtung, gesägt und entgratet (0 kg/Stk)</v>
      </c>
      <c r="H242" s="989"/>
      <c r="I242" s="989"/>
      <c r="J242" s="989"/>
      <c r="K242" s="989"/>
      <c r="L242" s="989"/>
      <c r="M242" s="990"/>
      <c r="N242" s="313"/>
      <c r="O242" s="426">
        <f t="shared" si="10"/>
        <v>0</v>
      </c>
      <c r="P242" s="286"/>
    </row>
    <row r="243" spans="2:16" ht="32.1" hidden="1" customHeight="1">
      <c r="B243" s="556"/>
      <c r="C243" s="312">
        <v>0</v>
      </c>
      <c r="D243" s="317">
        <f t="shared" si="9"/>
        <v>0</v>
      </c>
      <c r="E243" s="318" t="str">
        <f>VLOOKUP("[m]",Sprachindex!$A:$Z,Haftungsausschluß!$O$6,FALSE)</f>
        <v>[m]</v>
      </c>
      <c r="F243" s="318" t="str">
        <f>IF($L$14=1,Preisliste!$E$7,Preisliste!$F$7)</f>
        <v>H251000</v>
      </c>
      <c r="G243" s="988" t="str">
        <f>VLOOKUP("Dammbalken 25/200 exkl. Dichtung, gesägt und entgratet",Sprachindex!$A:$Z,Haftungsausschluß!$O$6,FALSE) &amp; " (" &amp; ROUNDUP(C243/1000*2.99,2) &amp; " " &amp; VLOOKUP("kg/Stk",Sprachindex!$A:$Z,Haftungsausschluß!$O$6,FALSE) &amp; ")" &amp; IF('Kalkulation 1'!$AH$33," " &amp; 'Kalkulation 1'!$R$9,"")</f>
        <v>Dammbalken 25/200 exkl. Dichtung, gesägt und entgratet (0 kg/Stk)</v>
      </c>
      <c r="H243" s="989"/>
      <c r="I243" s="989"/>
      <c r="J243" s="989"/>
      <c r="K243" s="989"/>
      <c r="L243" s="989"/>
      <c r="M243" s="990"/>
      <c r="N243" s="313"/>
      <c r="O243" s="426">
        <f t="shared" si="10"/>
        <v>0</v>
      </c>
      <c r="P243" s="286"/>
    </row>
    <row r="244" spans="2:16" ht="32.1" hidden="1" customHeight="1">
      <c r="B244" s="556"/>
      <c r="C244" s="312">
        <v>0</v>
      </c>
      <c r="D244" s="317">
        <f t="shared" si="9"/>
        <v>0</v>
      </c>
      <c r="E244" s="318" t="str">
        <f>VLOOKUP("[m]",Sprachindex!$A:$Z,Haftungsausschluß!$O$6,FALSE)</f>
        <v>[m]</v>
      </c>
      <c r="F244" s="318" t="str">
        <f>IF($L$14=1,Preisliste!$E$7,Preisliste!$F$7)</f>
        <v>H251000</v>
      </c>
      <c r="G244" s="988" t="str">
        <f>VLOOKUP("Dammbalken 25/200 exkl. Dichtung, gesägt und entgratet",Sprachindex!$A:$Z,Haftungsausschluß!$O$6,FALSE) &amp; " (" &amp; ROUNDUP(C244/1000*2.99,2) &amp; " " &amp; VLOOKUP("kg/Stk",Sprachindex!$A:$Z,Haftungsausschluß!$O$6,FALSE) &amp; ")" &amp; IF('Kalkulation 1'!$AH$33," " &amp; 'Kalkulation 1'!$R$9,"")</f>
        <v>Dammbalken 25/200 exkl. Dichtung, gesägt und entgratet (0 kg/Stk)</v>
      </c>
      <c r="H244" s="989"/>
      <c r="I244" s="989"/>
      <c r="J244" s="989"/>
      <c r="K244" s="989"/>
      <c r="L244" s="989"/>
      <c r="M244" s="990"/>
      <c r="N244" s="313"/>
      <c r="O244" s="426">
        <f t="shared" si="10"/>
        <v>0</v>
      </c>
      <c r="P244" s="286"/>
    </row>
    <row r="245" spans="2:16" ht="32.1" hidden="1" customHeight="1">
      <c r="B245" s="556"/>
      <c r="C245" s="312">
        <v>0</v>
      </c>
      <c r="D245" s="317">
        <f t="shared" si="9"/>
        <v>0</v>
      </c>
      <c r="E245" s="318" t="str">
        <f>VLOOKUP("[m]",Sprachindex!$A:$Z,Haftungsausschluß!$O$6,FALSE)</f>
        <v>[m]</v>
      </c>
      <c r="F245" s="318" t="str">
        <f>IF($L$14=1,Preisliste!$E$7,Preisliste!$F$7)</f>
        <v>H251000</v>
      </c>
      <c r="G245" s="988" t="str">
        <f>VLOOKUP("Dammbalken 25/200 exkl. Dichtung, gesägt und entgratet",Sprachindex!$A:$Z,Haftungsausschluß!$O$6,FALSE) &amp; " (" &amp; ROUNDUP(C245/1000*2.99,2) &amp; " " &amp; VLOOKUP("kg/Stk",Sprachindex!$A:$Z,Haftungsausschluß!$O$6,FALSE) &amp; ")" &amp; IF('Kalkulation 1'!$AH$33," " &amp; 'Kalkulation 1'!$R$9,"")</f>
        <v>Dammbalken 25/200 exkl. Dichtung, gesägt und entgratet (0 kg/Stk)</v>
      </c>
      <c r="H245" s="989"/>
      <c r="I245" s="989"/>
      <c r="J245" s="989"/>
      <c r="K245" s="989"/>
      <c r="L245" s="989"/>
      <c r="M245" s="990"/>
      <c r="N245" s="313"/>
      <c r="O245" s="426">
        <f t="shared" si="10"/>
        <v>0</v>
      </c>
      <c r="P245" s="286"/>
    </row>
    <row r="246" spans="2:16" ht="32.1" hidden="1" customHeight="1">
      <c r="B246" s="556"/>
      <c r="C246" s="312">
        <v>0</v>
      </c>
      <c r="D246" s="317">
        <f t="shared" si="9"/>
        <v>0</v>
      </c>
      <c r="E246" s="318" t="str">
        <f>VLOOKUP("[m]",Sprachindex!$A:$Z,Haftungsausschluß!$O$6,FALSE)</f>
        <v>[m]</v>
      </c>
      <c r="F246" s="318" t="str">
        <f>IF($L$14=1,Preisliste!$E$7,Preisliste!$F$7)</f>
        <v>H251000</v>
      </c>
      <c r="G246" s="988" t="str">
        <f>VLOOKUP("Dammbalken 25/200 exkl. Dichtung, gesägt und entgratet",Sprachindex!$A:$Z,Haftungsausschluß!$O$6,FALSE) &amp; " (" &amp; ROUNDUP(C246/1000*2.99,2) &amp; " " &amp; VLOOKUP("kg/Stk",Sprachindex!$A:$Z,Haftungsausschluß!$O$6,FALSE) &amp; ")" &amp; IF('Kalkulation 1'!$AH$33," " &amp; 'Kalkulation 1'!$R$9,"")</f>
        <v>Dammbalken 25/200 exkl. Dichtung, gesägt und entgratet (0 kg/Stk)</v>
      </c>
      <c r="H246" s="989"/>
      <c r="I246" s="989"/>
      <c r="J246" s="989"/>
      <c r="K246" s="989"/>
      <c r="L246" s="989"/>
      <c r="M246" s="990"/>
      <c r="N246" s="313"/>
      <c r="O246" s="426">
        <f t="shared" si="10"/>
        <v>0</v>
      </c>
      <c r="P246" s="286"/>
    </row>
    <row r="247" spans="2:16" ht="32.1" hidden="1" customHeight="1">
      <c r="B247" s="556"/>
      <c r="C247" s="312">
        <v>0</v>
      </c>
      <c r="D247" s="317">
        <f t="shared" si="9"/>
        <v>0</v>
      </c>
      <c r="E247" s="318" t="str">
        <f>VLOOKUP("[m]",Sprachindex!$A:$Z,Haftungsausschluß!$O$6,FALSE)</f>
        <v>[m]</v>
      </c>
      <c r="F247" s="318" t="str">
        <f>IF($L$14=1,Preisliste!$E$7,Preisliste!$F$7)</f>
        <v>H251000</v>
      </c>
      <c r="G247" s="988" t="str">
        <f>VLOOKUP("Dammbalken 25/200 exkl. Dichtung, gesägt und entgratet",Sprachindex!$A:$Z,Haftungsausschluß!$O$6,FALSE) &amp; " (" &amp; ROUNDUP(C247/1000*2.99,2) &amp; " " &amp; VLOOKUP("kg/Stk",Sprachindex!$A:$Z,Haftungsausschluß!$O$6,FALSE) &amp; ")" &amp; IF('Kalkulation 1'!$AH$33," " &amp; 'Kalkulation 1'!$R$9,"")</f>
        <v>Dammbalken 25/200 exkl. Dichtung, gesägt und entgratet (0 kg/Stk)</v>
      </c>
      <c r="H247" s="989"/>
      <c r="I247" s="989"/>
      <c r="J247" s="989"/>
      <c r="K247" s="989"/>
      <c r="L247" s="989"/>
      <c r="M247" s="990"/>
      <c r="N247" s="313"/>
      <c r="O247" s="426">
        <f t="shared" si="10"/>
        <v>0</v>
      </c>
      <c r="P247" s="286"/>
    </row>
    <row r="248" spans="2:16" ht="32.1" hidden="1" customHeight="1">
      <c r="B248" s="556"/>
      <c r="C248" s="312">
        <v>0</v>
      </c>
      <c r="D248" s="317">
        <f t="shared" si="9"/>
        <v>0</v>
      </c>
      <c r="E248" s="318" t="str">
        <f>VLOOKUP("[m]",Sprachindex!$A:$Z,Haftungsausschluß!$O$6,FALSE)</f>
        <v>[m]</v>
      </c>
      <c r="F248" s="318" t="str">
        <f>IF($L$14=1,Preisliste!$E$7,Preisliste!$F$7)</f>
        <v>H251000</v>
      </c>
      <c r="G248" s="988" t="str">
        <f>VLOOKUP("Dammbalken 25/200 exkl. Dichtung, gesägt und entgratet",Sprachindex!$A:$Z,Haftungsausschluß!$O$6,FALSE) &amp; " (" &amp; ROUNDUP(C248/1000*2.99,2) &amp; " " &amp; VLOOKUP("kg/Stk",Sprachindex!$A:$Z,Haftungsausschluß!$O$6,FALSE) &amp; ")" &amp; IF('Kalkulation 1'!$AH$33," " &amp; 'Kalkulation 1'!$R$9,"")</f>
        <v>Dammbalken 25/200 exkl. Dichtung, gesägt und entgratet (0 kg/Stk)</v>
      </c>
      <c r="H248" s="989"/>
      <c r="I248" s="989"/>
      <c r="J248" s="989"/>
      <c r="K248" s="989"/>
      <c r="L248" s="989"/>
      <c r="M248" s="990"/>
      <c r="N248" s="313"/>
      <c r="O248" s="426">
        <f t="shared" si="10"/>
        <v>0</v>
      </c>
      <c r="P248" s="286"/>
    </row>
    <row r="249" spans="2:16" ht="32.1" hidden="1" customHeight="1">
      <c r="B249" s="556"/>
      <c r="C249" s="312">
        <v>0</v>
      </c>
      <c r="D249" s="317">
        <f t="shared" si="9"/>
        <v>0</v>
      </c>
      <c r="E249" s="318" t="str">
        <f>VLOOKUP("[m]",Sprachindex!$A:$Z,Haftungsausschluß!$O$6,FALSE)</f>
        <v>[m]</v>
      </c>
      <c r="F249" s="318" t="str">
        <f>IF($L$14=1,Preisliste!$E$7,Preisliste!$F$7)</f>
        <v>H251000</v>
      </c>
      <c r="G249" s="988" t="str">
        <f>VLOOKUP("Dammbalken 25/200 exkl. Dichtung, gesägt und entgratet",Sprachindex!$A:$Z,Haftungsausschluß!$O$6,FALSE) &amp; " (" &amp; ROUNDUP(C249/1000*2.99,2) &amp; " " &amp; VLOOKUP("kg/Stk",Sprachindex!$A:$Z,Haftungsausschluß!$O$6,FALSE) &amp; ")" &amp; IF('Kalkulation 1'!$AH$33," " &amp; 'Kalkulation 1'!$R$9,"")</f>
        <v>Dammbalken 25/200 exkl. Dichtung, gesägt und entgratet (0 kg/Stk)</v>
      </c>
      <c r="H249" s="989"/>
      <c r="I249" s="989"/>
      <c r="J249" s="989"/>
      <c r="K249" s="989"/>
      <c r="L249" s="989"/>
      <c r="M249" s="990"/>
      <c r="N249" s="313"/>
      <c r="O249" s="426">
        <f t="shared" si="10"/>
        <v>0</v>
      </c>
      <c r="P249" s="286"/>
    </row>
    <row r="250" spans="2:16" ht="32.1" hidden="1" customHeight="1">
      <c r="B250" s="556"/>
      <c r="C250" s="312">
        <v>0</v>
      </c>
      <c r="D250" s="317">
        <f t="shared" si="9"/>
        <v>0</v>
      </c>
      <c r="E250" s="318" t="str">
        <f>VLOOKUP("[m]",Sprachindex!$A:$Z,Haftungsausschluß!$O$6,FALSE)</f>
        <v>[m]</v>
      </c>
      <c r="F250" s="318" t="str">
        <f>IF($L$14=1,Preisliste!$E$7,Preisliste!$F$7)</f>
        <v>H251000</v>
      </c>
      <c r="G250" s="988" t="str">
        <f>VLOOKUP("Dammbalken 25/200 exkl. Dichtung, gesägt und entgratet",Sprachindex!$A:$Z,Haftungsausschluß!$O$6,FALSE) &amp; " (" &amp; ROUNDUP(C250/1000*2.99,2) &amp; " " &amp; VLOOKUP("kg/Stk",Sprachindex!$A:$Z,Haftungsausschluß!$O$6,FALSE) &amp; ")" &amp; IF('Kalkulation 1'!$AH$33," " &amp; 'Kalkulation 1'!$R$9,"")</f>
        <v>Dammbalken 25/200 exkl. Dichtung, gesägt und entgratet (0 kg/Stk)</v>
      </c>
      <c r="H250" s="989"/>
      <c r="I250" s="989"/>
      <c r="J250" s="989"/>
      <c r="K250" s="989"/>
      <c r="L250" s="989"/>
      <c r="M250" s="990"/>
      <c r="N250" s="313"/>
      <c r="O250" s="426">
        <f t="shared" si="10"/>
        <v>0</v>
      </c>
      <c r="P250" s="286"/>
    </row>
    <row r="251" spans="2:16" ht="32.1" hidden="1" customHeight="1">
      <c r="B251" s="556"/>
      <c r="C251" s="312">
        <v>0</v>
      </c>
      <c r="D251" s="317">
        <f t="shared" si="9"/>
        <v>0</v>
      </c>
      <c r="E251" s="318" t="str">
        <f>VLOOKUP("[m]",Sprachindex!$A:$Z,Haftungsausschluß!$O$6,FALSE)</f>
        <v>[m]</v>
      </c>
      <c r="F251" s="318" t="str">
        <f>IF($L$14=1,Preisliste!$E$7,Preisliste!$F$7)</f>
        <v>H251000</v>
      </c>
      <c r="G251" s="988" t="str">
        <f>VLOOKUP("Dammbalken 25/200 exkl. Dichtung, gesägt und entgratet",Sprachindex!$A:$Z,Haftungsausschluß!$O$6,FALSE) &amp; " (" &amp; ROUNDUP(C251/1000*2.99,2) &amp; " " &amp; VLOOKUP("kg/Stk",Sprachindex!$A:$Z,Haftungsausschluß!$O$6,FALSE) &amp; ")" &amp; IF('Kalkulation 1'!$AH$33," " &amp; 'Kalkulation 1'!$R$9,"")</f>
        <v>Dammbalken 25/200 exkl. Dichtung, gesägt und entgratet (0 kg/Stk)</v>
      </c>
      <c r="H251" s="989"/>
      <c r="I251" s="989"/>
      <c r="J251" s="989"/>
      <c r="K251" s="989"/>
      <c r="L251" s="989"/>
      <c r="M251" s="990"/>
      <c r="N251" s="313"/>
      <c r="O251" s="426">
        <f t="shared" si="10"/>
        <v>0</v>
      </c>
      <c r="P251" s="286"/>
    </row>
    <row r="252" spans="2:16" ht="32.1" hidden="1" customHeight="1">
      <c r="B252" s="556"/>
      <c r="C252" s="312">
        <v>0</v>
      </c>
      <c r="D252" s="317">
        <f t="shared" si="9"/>
        <v>0</v>
      </c>
      <c r="E252" s="318" t="str">
        <f>VLOOKUP("[m]",Sprachindex!$A:$Z,Haftungsausschluß!$O$6,FALSE)</f>
        <v>[m]</v>
      </c>
      <c r="F252" s="318" t="str">
        <f>IF($L$14=1,Preisliste!$E$7,Preisliste!$F$7)</f>
        <v>H251000</v>
      </c>
      <c r="G252" s="988" t="str">
        <f>VLOOKUP("Dammbalken 25/200 exkl. Dichtung, gesägt und entgratet",Sprachindex!$A:$Z,Haftungsausschluß!$O$6,FALSE) &amp; " (" &amp; ROUNDUP(C252/1000*2.99,2) &amp; " " &amp; VLOOKUP("kg/Stk",Sprachindex!$A:$Z,Haftungsausschluß!$O$6,FALSE) &amp; ")" &amp; IF('Kalkulation 1'!$AH$33," " &amp; 'Kalkulation 1'!$R$9,"")</f>
        <v>Dammbalken 25/200 exkl. Dichtung, gesägt und entgratet (0 kg/Stk)</v>
      </c>
      <c r="H252" s="989"/>
      <c r="I252" s="989"/>
      <c r="J252" s="989"/>
      <c r="K252" s="989"/>
      <c r="L252" s="989"/>
      <c r="M252" s="990"/>
      <c r="N252" s="313"/>
      <c r="O252" s="426">
        <f t="shared" si="10"/>
        <v>0</v>
      </c>
      <c r="P252" s="286"/>
    </row>
    <row r="253" spans="2:16" ht="32.1" hidden="1" customHeight="1">
      <c r="B253" s="556"/>
      <c r="C253" s="312">
        <v>0</v>
      </c>
      <c r="D253" s="317">
        <f t="shared" si="9"/>
        <v>0</v>
      </c>
      <c r="E253" s="318" t="str">
        <f>VLOOKUP("[m]",Sprachindex!$A:$Z,Haftungsausschluß!$O$6,FALSE)</f>
        <v>[m]</v>
      </c>
      <c r="F253" s="318" t="str">
        <f>IF($L$14=1,Preisliste!$E$7,Preisliste!$F$7)</f>
        <v>H251000</v>
      </c>
      <c r="G253" s="988" t="str">
        <f>VLOOKUP("Dammbalken 25/200 exkl. Dichtung, gesägt und entgratet",Sprachindex!$A:$Z,Haftungsausschluß!$O$6,FALSE) &amp; " (" &amp; ROUNDUP(C253/1000*2.99,2) &amp; " " &amp; VLOOKUP("kg/Stk",Sprachindex!$A:$Z,Haftungsausschluß!$O$6,FALSE) &amp; ")" &amp; IF('Kalkulation 1'!$AH$33," " &amp; 'Kalkulation 1'!$R$9,"")</f>
        <v>Dammbalken 25/200 exkl. Dichtung, gesägt und entgratet (0 kg/Stk)</v>
      </c>
      <c r="H253" s="989"/>
      <c r="I253" s="989"/>
      <c r="J253" s="989"/>
      <c r="K253" s="989"/>
      <c r="L253" s="989"/>
      <c r="M253" s="990"/>
      <c r="N253" s="313"/>
      <c r="O253" s="426">
        <f t="shared" si="10"/>
        <v>0</v>
      </c>
      <c r="P253" s="286"/>
    </row>
    <row r="254" spans="2:16" ht="32.1" hidden="1" customHeight="1">
      <c r="B254" s="556"/>
      <c r="C254" s="312">
        <v>0</v>
      </c>
      <c r="D254" s="317">
        <f t="shared" si="9"/>
        <v>0</v>
      </c>
      <c r="E254" s="318" t="str">
        <f>VLOOKUP("[m]",Sprachindex!$A:$Z,Haftungsausschluß!$O$6,FALSE)</f>
        <v>[m]</v>
      </c>
      <c r="F254" s="318" t="str">
        <f>IF($L$14=1,Preisliste!$E$7,Preisliste!$F$7)</f>
        <v>H251000</v>
      </c>
      <c r="G254" s="988" t="str">
        <f>VLOOKUP("Dammbalken 25/200 exkl. Dichtung, gesägt und entgratet",Sprachindex!$A:$Z,Haftungsausschluß!$O$6,FALSE) &amp; " (" &amp; ROUNDUP(C254/1000*2.99,2) &amp; " " &amp; VLOOKUP("kg/Stk",Sprachindex!$A:$Z,Haftungsausschluß!$O$6,FALSE) &amp; ")" &amp; IF('Kalkulation 1'!$AH$33," " &amp; 'Kalkulation 1'!$R$9,"")</f>
        <v>Dammbalken 25/200 exkl. Dichtung, gesägt und entgratet (0 kg/Stk)</v>
      </c>
      <c r="H254" s="989"/>
      <c r="I254" s="989"/>
      <c r="J254" s="989"/>
      <c r="K254" s="989"/>
      <c r="L254" s="989"/>
      <c r="M254" s="990"/>
      <c r="N254" s="313"/>
      <c r="O254" s="426">
        <f t="shared" si="10"/>
        <v>0</v>
      </c>
      <c r="P254" s="286"/>
    </row>
    <row r="255" spans="2:16" ht="32.1" hidden="1" customHeight="1">
      <c r="B255" s="556"/>
      <c r="C255" s="312">
        <v>0</v>
      </c>
      <c r="D255" s="317">
        <f t="shared" si="9"/>
        <v>0</v>
      </c>
      <c r="E255" s="318" t="str">
        <f>VLOOKUP("[m]",Sprachindex!$A:$Z,Haftungsausschluß!$O$6,FALSE)</f>
        <v>[m]</v>
      </c>
      <c r="F255" s="318" t="str">
        <f>IF($L$14=1,Preisliste!$E$7,Preisliste!$F$7)</f>
        <v>H251000</v>
      </c>
      <c r="G255" s="988" t="str">
        <f>VLOOKUP("Dammbalken 25/200 exkl. Dichtung, gesägt und entgratet",Sprachindex!$A:$Z,Haftungsausschluß!$O$6,FALSE) &amp; " (" &amp; ROUNDUP(C255/1000*2.99,2) &amp; " " &amp; VLOOKUP("kg/Stk",Sprachindex!$A:$Z,Haftungsausschluß!$O$6,FALSE) &amp; ")" &amp; IF('Kalkulation 1'!$AH$33," " &amp; 'Kalkulation 1'!$R$9,"")</f>
        <v>Dammbalken 25/200 exkl. Dichtung, gesägt und entgratet (0 kg/Stk)</v>
      </c>
      <c r="H255" s="989"/>
      <c r="I255" s="989"/>
      <c r="J255" s="989"/>
      <c r="K255" s="989"/>
      <c r="L255" s="989"/>
      <c r="M255" s="990"/>
      <c r="N255" s="313"/>
      <c r="O255" s="426">
        <f t="shared" si="10"/>
        <v>0</v>
      </c>
      <c r="P255" s="286"/>
    </row>
    <row r="256" spans="2:16" ht="32.1" hidden="1" customHeight="1">
      <c r="B256" s="556"/>
      <c r="C256" s="312">
        <v>0</v>
      </c>
      <c r="D256" s="317">
        <f t="shared" si="9"/>
        <v>0</v>
      </c>
      <c r="E256" s="318" t="str">
        <f>VLOOKUP("[m]",Sprachindex!$A:$Z,Haftungsausschluß!$O$6,FALSE)</f>
        <v>[m]</v>
      </c>
      <c r="F256" s="318" t="str">
        <f>IF($L$14=1,Preisliste!$E$7,Preisliste!$F$7)</f>
        <v>H251000</v>
      </c>
      <c r="G256" s="988" t="str">
        <f>VLOOKUP("Dammbalken 25/200 exkl. Dichtung, gesägt und entgratet",Sprachindex!$A:$Z,Haftungsausschluß!$O$6,FALSE) &amp; " (" &amp; ROUNDUP(C256/1000*2.99,2) &amp; " " &amp; VLOOKUP("kg/Stk",Sprachindex!$A:$Z,Haftungsausschluß!$O$6,FALSE) &amp; ")" &amp; IF('Kalkulation 1'!$AH$33," " &amp; 'Kalkulation 1'!$R$9,"")</f>
        <v>Dammbalken 25/200 exkl. Dichtung, gesägt und entgratet (0 kg/Stk)</v>
      </c>
      <c r="H256" s="989"/>
      <c r="I256" s="989"/>
      <c r="J256" s="989"/>
      <c r="K256" s="989"/>
      <c r="L256" s="989"/>
      <c r="M256" s="990"/>
      <c r="N256" s="313"/>
      <c r="O256" s="426">
        <f t="shared" si="10"/>
        <v>0</v>
      </c>
      <c r="P256" s="286"/>
    </row>
    <row r="257" spans="2:16" ht="32.1" hidden="1" customHeight="1">
      <c r="B257" s="556"/>
      <c r="C257" s="312">
        <v>0</v>
      </c>
      <c r="D257" s="317">
        <f t="shared" si="9"/>
        <v>0</v>
      </c>
      <c r="E257" s="318" t="str">
        <f>VLOOKUP("[m]",Sprachindex!$A:$Z,Haftungsausschluß!$O$6,FALSE)</f>
        <v>[m]</v>
      </c>
      <c r="F257" s="318" t="str">
        <f>IF($L$14=1,Preisliste!$E$7,Preisliste!$F$7)</f>
        <v>H251000</v>
      </c>
      <c r="G257" s="988" t="str">
        <f>VLOOKUP("Dammbalken 25/200 exkl. Dichtung, gesägt und entgratet",Sprachindex!$A:$Z,Haftungsausschluß!$O$6,FALSE) &amp; " (" &amp; ROUNDUP(C257/1000*2.99,2) &amp; " " &amp; VLOOKUP("kg/Stk",Sprachindex!$A:$Z,Haftungsausschluß!$O$6,FALSE) &amp; ")" &amp; IF('Kalkulation 1'!$AH$33," " &amp; 'Kalkulation 1'!$R$9,"")</f>
        <v>Dammbalken 25/200 exkl. Dichtung, gesägt und entgratet (0 kg/Stk)</v>
      </c>
      <c r="H257" s="989"/>
      <c r="I257" s="989"/>
      <c r="J257" s="989"/>
      <c r="K257" s="989"/>
      <c r="L257" s="989"/>
      <c r="M257" s="990"/>
      <c r="N257" s="313"/>
      <c r="O257" s="426">
        <f t="shared" si="10"/>
        <v>0</v>
      </c>
      <c r="P257" s="286"/>
    </row>
    <row r="258" spans="2:16" ht="32.1" hidden="1" customHeight="1">
      <c r="B258" s="556"/>
      <c r="C258" s="312">
        <v>0</v>
      </c>
      <c r="D258" s="317">
        <f t="shared" si="9"/>
        <v>0</v>
      </c>
      <c r="E258" s="318" t="str">
        <f>VLOOKUP("[m]",Sprachindex!$A:$Z,Haftungsausschluß!$O$6,FALSE)</f>
        <v>[m]</v>
      </c>
      <c r="F258" s="318" t="str">
        <f>IF($L$14=1,Preisliste!$E$7,Preisliste!$F$7)</f>
        <v>H251000</v>
      </c>
      <c r="G258" s="988" t="str">
        <f>VLOOKUP("Dammbalken 25/200 exkl. Dichtung, gesägt und entgratet",Sprachindex!$A:$Z,Haftungsausschluß!$O$6,FALSE) &amp; " (" &amp; ROUNDUP(C258/1000*2.99,2) &amp; " " &amp; VLOOKUP("kg/Stk",Sprachindex!$A:$Z,Haftungsausschluß!$O$6,FALSE) &amp; ")" &amp; IF('Kalkulation 1'!$AH$33," " &amp; 'Kalkulation 1'!$R$9,"")</f>
        <v>Dammbalken 25/200 exkl. Dichtung, gesägt und entgratet (0 kg/Stk)</v>
      </c>
      <c r="H258" s="989"/>
      <c r="I258" s="989"/>
      <c r="J258" s="989"/>
      <c r="K258" s="989"/>
      <c r="L258" s="989"/>
      <c r="M258" s="990"/>
      <c r="N258" s="313"/>
      <c r="O258" s="426">
        <f t="shared" si="10"/>
        <v>0</v>
      </c>
      <c r="P258" s="286"/>
    </row>
    <row r="259" spans="2:16" ht="32.1" hidden="1" customHeight="1">
      <c r="B259" s="556"/>
      <c r="C259" s="312">
        <v>0</v>
      </c>
      <c r="D259" s="317">
        <f t="shared" si="9"/>
        <v>0</v>
      </c>
      <c r="E259" s="318" t="str">
        <f>VLOOKUP("[m]",Sprachindex!$A:$Z,Haftungsausschluß!$O$6,FALSE)</f>
        <v>[m]</v>
      </c>
      <c r="F259" s="318" t="str">
        <f>IF($L$14=1,Preisliste!$E$7,Preisliste!$F$7)</f>
        <v>H251000</v>
      </c>
      <c r="G259" s="988" t="str">
        <f>VLOOKUP("Dammbalken 25/200 exkl. Dichtung, gesägt und entgratet",Sprachindex!$A:$Z,Haftungsausschluß!$O$6,FALSE) &amp; " (" &amp; ROUNDUP(C259/1000*2.99,2) &amp; " " &amp; VLOOKUP("kg/Stk",Sprachindex!$A:$Z,Haftungsausschluß!$O$6,FALSE) &amp; ")" &amp; IF('Kalkulation 1'!$AH$33," " &amp; 'Kalkulation 1'!$R$9,"")</f>
        <v>Dammbalken 25/200 exkl. Dichtung, gesägt und entgratet (0 kg/Stk)</v>
      </c>
      <c r="H259" s="989"/>
      <c r="I259" s="989"/>
      <c r="J259" s="989"/>
      <c r="K259" s="989"/>
      <c r="L259" s="989"/>
      <c r="M259" s="990"/>
      <c r="N259" s="313"/>
      <c r="O259" s="426">
        <f t="shared" si="10"/>
        <v>0</v>
      </c>
      <c r="P259" s="286"/>
    </row>
    <row r="260" spans="2:16" ht="32.1" hidden="1" customHeight="1">
      <c r="B260" s="556"/>
      <c r="C260" s="312">
        <v>0</v>
      </c>
      <c r="D260" s="317">
        <f t="shared" si="9"/>
        <v>0</v>
      </c>
      <c r="E260" s="318" t="str">
        <f>VLOOKUP("[m]",Sprachindex!$A:$Z,Haftungsausschluß!$O$6,FALSE)</f>
        <v>[m]</v>
      </c>
      <c r="F260" s="318" t="str">
        <f>IF($L$14=1,Preisliste!$E$7,Preisliste!$F$7)</f>
        <v>H251000</v>
      </c>
      <c r="G260" s="988" t="str">
        <f>VLOOKUP("Dammbalken 25/200 exkl. Dichtung, gesägt und entgratet",Sprachindex!$A:$Z,Haftungsausschluß!$O$6,FALSE) &amp; " (" &amp; ROUNDUP(C260/1000*2.99,2) &amp; " " &amp; VLOOKUP("kg/Stk",Sprachindex!$A:$Z,Haftungsausschluß!$O$6,FALSE) &amp; ")" &amp; IF('Kalkulation 1'!$AH$33," " &amp; 'Kalkulation 1'!$R$9,"")</f>
        <v>Dammbalken 25/200 exkl. Dichtung, gesägt und entgratet (0 kg/Stk)</v>
      </c>
      <c r="H260" s="989"/>
      <c r="I260" s="989"/>
      <c r="J260" s="989"/>
      <c r="K260" s="989"/>
      <c r="L260" s="989"/>
      <c r="M260" s="990"/>
      <c r="N260" s="313"/>
      <c r="O260" s="426">
        <f t="shared" si="10"/>
        <v>0</v>
      </c>
      <c r="P260" s="286"/>
    </row>
    <row r="261" spans="2:16" ht="32.1" hidden="1" customHeight="1">
      <c r="B261" s="556"/>
      <c r="C261" s="312">
        <v>0</v>
      </c>
      <c r="D261" s="317">
        <f t="shared" si="9"/>
        <v>0</v>
      </c>
      <c r="E261" s="318" t="str">
        <f>VLOOKUP("[m]",Sprachindex!$A:$Z,Haftungsausschluß!$O$6,FALSE)</f>
        <v>[m]</v>
      </c>
      <c r="F261" s="318" t="str">
        <f>IF($L$14=1,Preisliste!$E$7,Preisliste!$F$7)</f>
        <v>H251000</v>
      </c>
      <c r="G261" s="988" t="str">
        <f>VLOOKUP("Dammbalken 25/200 exkl. Dichtung, gesägt und entgratet",Sprachindex!$A:$Z,Haftungsausschluß!$O$6,FALSE) &amp; " (" &amp; ROUNDUP(C261/1000*2.99,2) &amp; " " &amp; VLOOKUP("kg/Stk",Sprachindex!$A:$Z,Haftungsausschluß!$O$6,FALSE) &amp; ")" &amp; IF('Kalkulation 1'!$AH$33," " &amp; 'Kalkulation 1'!$R$9,"")</f>
        <v>Dammbalken 25/200 exkl. Dichtung, gesägt und entgratet (0 kg/Stk)</v>
      </c>
      <c r="H261" s="989"/>
      <c r="I261" s="989"/>
      <c r="J261" s="989"/>
      <c r="K261" s="989"/>
      <c r="L261" s="989"/>
      <c r="M261" s="990"/>
      <c r="N261" s="313"/>
      <c r="O261" s="426">
        <f t="shared" si="10"/>
        <v>0</v>
      </c>
      <c r="P261" s="286"/>
    </row>
    <row r="262" spans="2:16" ht="32.1" hidden="1" customHeight="1">
      <c r="B262" s="556"/>
      <c r="C262" s="312">
        <v>0</v>
      </c>
      <c r="D262" s="317">
        <f t="shared" si="9"/>
        <v>0</v>
      </c>
      <c r="E262" s="318" t="str">
        <f>VLOOKUP("[m]",Sprachindex!$A:$Z,Haftungsausschluß!$O$6,FALSE)</f>
        <v>[m]</v>
      </c>
      <c r="F262" s="318" t="str">
        <f>IF($L$14=1,Preisliste!$E$7,Preisliste!$F$7)</f>
        <v>H251000</v>
      </c>
      <c r="G262" s="988" t="str">
        <f>VLOOKUP("Dammbalken 25/200 exkl. Dichtung, gesägt und entgratet",Sprachindex!$A:$Z,Haftungsausschluß!$O$6,FALSE) &amp; " (" &amp; ROUNDUP(C262/1000*2.99,2) &amp; " " &amp; VLOOKUP("kg/Stk",Sprachindex!$A:$Z,Haftungsausschluß!$O$6,FALSE) &amp; ")" &amp; IF('Kalkulation 1'!$AH$33," " &amp; 'Kalkulation 1'!$R$9,"")</f>
        <v>Dammbalken 25/200 exkl. Dichtung, gesägt und entgratet (0 kg/Stk)</v>
      </c>
      <c r="H262" s="989"/>
      <c r="I262" s="989"/>
      <c r="J262" s="989"/>
      <c r="K262" s="989"/>
      <c r="L262" s="989"/>
      <c r="M262" s="990"/>
      <c r="N262" s="313"/>
      <c r="O262" s="426">
        <f t="shared" si="10"/>
        <v>0</v>
      </c>
      <c r="P262" s="286"/>
    </row>
    <row r="263" spans="2:16" ht="32.1" hidden="1" customHeight="1">
      <c r="B263" s="556"/>
      <c r="C263" s="312">
        <v>0</v>
      </c>
      <c r="D263" s="317">
        <f t="shared" si="9"/>
        <v>0</v>
      </c>
      <c r="E263" s="318" t="str">
        <f>VLOOKUP("[m]",Sprachindex!$A:$Z,Haftungsausschluß!$O$6,FALSE)</f>
        <v>[m]</v>
      </c>
      <c r="F263" s="318" t="str">
        <f>IF($L$14=1,Preisliste!$E$7,Preisliste!$F$7)</f>
        <v>H251000</v>
      </c>
      <c r="G263" s="988" t="str">
        <f>VLOOKUP("Dammbalken 25/200 exkl. Dichtung, gesägt und entgratet",Sprachindex!$A:$Z,Haftungsausschluß!$O$6,FALSE) &amp; " (" &amp; ROUNDUP(C263/1000*2.99,2) &amp; " " &amp; VLOOKUP("kg/Stk",Sprachindex!$A:$Z,Haftungsausschluß!$O$6,FALSE) &amp; ")" &amp; IF('Kalkulation 1'!$AH$33," " &amp; 'Kalkulation 1'!$R$9,"")</f>
        <v>Dammbalken 25/200 exkl. Dichtung, gesägt und entgratet (0 kg/Stk)</v>
      </c>
      <c r="H263" s="989"/>
      <c r="I263" s="989"/>
      <c r="J263" s="989"/>
      <c r="K263" s="989"/>
      <c r="L263" s="989"/>
      <c r="M263" s="990"/>
      <c r="N263" s="313"/>
      <c r="O263" s="426">
        <f t="shared" si="10"/>
        <v>0</v>
      </c>
      <c r="P263" s="286"/>
    </row>
    <row r="264" spans="2:16" ht="32.1" hidden="1" customHeight="1">
      <c r="B264" s="556"/>
      <c r="C264" s="312">
        <v>0</v>
      </c>
      <c r="D264" s="317">
        <f t="shared" si="9"/>
        <v>0</v>
      </c>
      <c r="E264" s="318" t="str">
        <f>VLOOKUP("[m]",Sprachindex!$A:$Z,Haftungsausschluß!$O$6,FALSE)</f>
        <v>[m]</v>
      </c>
      <c r="F264" s="318" t="str">
        <f>IF($L$14=1,Preisliste!$E$7,Preisliste!$F$7)</f>
        <v>H251000</v>
      </c>
      <c r="G264" s="988" t="str">
        <f>VLOOKUP("Dammbalken 25/200 exkl. Dichtung, gesägt und entgratet",Sprachindex!$A:$Z,Haftungsausschluß!$O$6,FALSE) &amp; " (" &amp; ROUNDUP(C264/1000*2.99,2) &amp; " " &amp; VLOOKUP("kg/Stk",Sprachindex!$A:$Z,Haftungsausschluß!$O$6,FALSE) &amp; ")" &amp; IF('Kalkulation 1'!$AH$33," " &amp; 'Kalkulation 1'!$R$9,"")</f>
        <v>Dammbalken 25/200 exkl. Dichtung, gesägt und entgratet (0 kg/Stk)</v>
      </c>
      <c r="H264" s="989"/>
      <c r="I264" s="989"/>
      <c r="J264" s="989"/>
      <c r="K264" s="989"/>
      <c r="L264" s="989"/>
      <c r="M264" s="990"/>
      <c r="N264" s="313"/>
      <c r="O264" s="426">
        <f t="shared" si="10"/>
        <v>0</v>
      </c>
      <c r="P264" s="286"/>
    </row>
    <row r="265" spans="2:16" ht="32.1" hidden="1" customHeight="1">
      <c r="B265" s="556"/>
      <c r="C265" s="312">
        <v>0</v>
      </c>
      <c r="D265" s="317">
        <f t="shared" si="9"/>
        <v>0</v>
      </c>
      <c r="E265" s="318" t="str">
        <f>VLOOKUP("[m]",Sprachindex!$A:$Z,Haftungsausschluß!$O$6,FALSE)</f>
        <v>[m]</v>
      </c>
      <c r="F265" s="318" t="str">
        <f>IF($L$14=1,Preisliste!$E$7,Preisliste!$F$7)</f>
        <v>H251000</v>
      </c>
      <c r="G265" s="988" t="str">
        <f>VLOOKUP("Dammbalken 25/200 exkl. Dichtung, gesägt und entgratet",Sprachindex!$A:$Z,Haftungsausschluß!$O$6,FALSE) &amp; " (" &amp; ROUNDUP(C265/1000*2.99,2) &amp; " " &amp; VLOOKUP("kg/Stk",Sprachindex!$A:$Z,Haftungsausschluß!$O$6,FALSE) &amp; ")" &amp; IF('Kalkulation 1'!$AH$33," " &amp; 'Kalkulation 1'!$R$9,"")</f>
        <v>Dammbalken 25/200 exkl. Dichtung, gesägt und entgratet (0 kg/Stk)</v>
      </c>
      <c r="H265" s="989"/>
      <c r="I265" s="989"/>
      <c r="J265" s="989"/>
      <c r="K265" s="989"/>
      <c r="L265" s="989"/>
      <c r="M265" s="990"/>
      <c r="N265" s="313"/>
      <c r="O265" s="426">
        <f t="shared" si="10"/>
        <v>0</v>
      </c>
      <c r="P265" s="286"/>
    </row>
    <row r="266" spans="2:16" ht="32.1" hidden="1" customHeight="1">
      <c r="B266" s="556"/>
      <c r="C266" s="312">
        <v>0</v>
      </c>
      <c r="D266" s="317">
        <f t="shared" si="9"/>
        <v>0</v>
      </c>
      <c r="E266" s="318" t="str">
        <f>VLOOKUP("[m]",Sprachindex!$A:$Z,Haftungsausschluß!$O$6,FALSE)</f>
        <v>[m]</v>
      </c>
      <c r="F266" s="318" t="str">
        <f>IF($L$14=1,Preisliste!$E$7,Preisliste!$F$7)</f>
        <v>H251000</v>
      </c>
      <c r="G266" s="988" t="str">
        <f>VLOOKUP("Dammbalken 25/200 exkl. Dichtung, gesägt und entgratet",Sprachindex!$A:$Z,Haftungsausschluß!$O$6,FALSE) &amp; " (" &amp; ROUNDUP(C266/1000*2.99,2) &amp; " " &amp; VLOOKUP("kg/Stk",Sprachindex!$A:$Z,Haftungsausschluß!$O$6,FALSE) &amp; ")" &amp; IF('Kalkulation 1'!$AH$33," " &amp; 'Kalkulation 1'!$R$9,"")</f>
        <v>Dammbalken 25/200 exkl. Dichtung, gesägt und entgratet (0 kg/Stk)</v>
      </c>
      <c r="H266" s="989"/>
      <c r="I266" s="989"/>
      <c r="J266" s="989"/>
      <c r="K266" s="989"/>
      <c r="L266" s="989"/>
      <c r="M266" s="990"/>
      <c r="N266" s="313"/>
      <c r="O266" s="426">
        <f t="shared" si="10"/>
        <v>0</v>
      </c>
      <c r="P266" s="286"/>
    </row>
    <row r="267" spans="2:16" ht="32.1" hidden="1" customHeight="1">
      <c r="B267" s="556"/>
      <c r="C267" s="312">
        <v>0</v>
      </c>
      <c r="D267" s="317">
        <f t="shared" si="9"/>
        <v>0</v>
      </c>
      <c r="E267" s="318" t="str">
        <f>VLOOKUP("[m]",Sprachindex!$A:$Z,Haftungsausschluß!$O$6,FALSE)</f>
        <v>[m]</v>
      </c>
      <c r="F267" s="318" t="str">
        <f>IF($L$14=1,Preisliste!$E$7,Preisliste!$F$7)</f>
        <v>H251000</v>
      </c>
      <c r="G267" s="988" t="str">
        <f>VLOOKUP("Dammbalken 25/200 exkl. Dichtung, gesägt und entgratet",Sprachindex!$A:$Z,Haftungsausschluß!$O$6,FALSE) &amp; " (" &amp; ROUNDUP(C267/1000*2.99,2) &amp; " " &amp; VLOOKUP("kg/Stk",Sprachindex!$A:$Z,Haftungsausschluß!$O$6,FALSE) &amp; ")" &amp; IF('Kalkulation 1'!$AH$33," " &amp; 'Kalkulation 1'!$R$9,"")</f>
        <v>Dammbalken 25/200 exkl. Dichtung, gesägt und entgratet (0 kg/Stk)</v>
      </c>
      <c r="H267" s="989"/>
      <c r="I267" s="989"/>
      <c r="J267" s="989"/>
      <c r="K267" s="989"/>
      <c r="L267" s="989"/>
      <c r="M267" s="990"/>
      <c r="N267" s="313"/>
      <c r="O267" s="426">
        <f t="shared" si="10"/>
        <v>0</v>
      </c>
      <c r="P267" s="286"/>
    </row>
    <row r="268" spans="2:16" ht="32.1" hidden="1" customHeight="1">
      <c r="B268" s="556"/>
      <c r="C268" s="312">
        <v>0</v>
      </c>
      <c r="D268" s="317">
        <f t="shared" si="9"/>
        <v>0</v>
      </c>
      <c r="E268" s="318" t="str">
        <f>VLOOKUP("[m]",Sprachindex!$A:$Z,Haftungsausschluß!$O$6,FALSE)</f>
        <v>[m]</v>
      </c>
      <c r="F268" s="318" t="str">
        <f>IF($L$14=1,Preisliste!$E$7,Preisliste!$F$7)</f>
        <v>H251000</v>
      </c>
      <c r="G268" s="988" t="str">
        <f>VLOOKUP("Dammbalken 25/200 exkl. Dichtung, gesägt und entgratet",Sprachindex!$A:$Z,Haftungsausschluß!$O$6,FALSE) &amp; " (" &amp; ROUNDUP(C268/1000*2.99,2) &amp; " " &amp; VLOOKUP("kg/Stk",Sprachindex!$A:$Z,Haftungsausschluß!$O$6,FALSE) &amp; ")" &amp; IF('Kalkulation 1'!$AH$33," " &amp; 'Kalkulation 1'!$R$9,"")</f>
        <v>Dammbalken 25/200 exkl. Dichtung, gesägt und entgratet (0 kg/Stk)</v>
      </c>
      <c r="H268" s="989"/>
      <c r="I268" s="989"/>
      <c r="J268" s="989"/>
      <c r="K268" s="989"/>
      <c r="L268" s="989"/>
      <c r="M268" s="990"/>
      <c r="N268" s="313"/>
      <c r="O268" s="426">
        <f t="shared" si="10"/>
        <v>0</v>
      </c>
      <c r="P268" s="286"/>
    </row>
    <row r="269" spans="2:16" ht="32.1" hidden="1" customHeight="1">
      <c r="B269" s="556"/>
      <c r="C269" s="312">
        <v>0</v>
      </c>
      <c r="D269" s="317">
        <f t="shared" si="9"/>
        <v>0</v>
      </c>
      <c r="E269" s="318" t="str">
        <f>VLOOKUP("[m]",Sprachindex!$A:$Z,Haftungsausschluß!$O$6,FALSE)</f>
        <v>[m]</v>
      </c>
      <c r="F269" s="318" t="str">
        <f>IF($L$14=1,Preisliste!$E$7,Preisliste!$F$7)</f>
        <v>H251000</v>
      </c>
      <c r="G269" s="988" t="str">
        <f>VLOOKUP("Dammbalken 25/200 exkl. Dichtung, gesägt und entgratet",Sprachindex!$A:$Z,Haftungsausschluß!$O$6,FALSE) &amp; " (" &amp; ROUNDUP(C269/1000*2.99,2) &amp; " " &amp; VLOOKUP("kg/Stk",Sprachindex!$A:$Z,Haftungsausschluß!$O$6,FALSE) &amp; ")" &amp; IF('Kalkulation 1'!$AH$33," " &amp; 'Kalkulation 1'!$R$9,"")</f>
        <v>Dammbalken 25/200 exkl. Dichtung, gesägt und entgratet (0 kg/Stk)</v>
      </c>
      <c r="H269" s="989"/>
      <c r="I269" s="989"/>
      <c r="J269" s="989"/>
      <c r="K269" s="989"/>
      <c r="L269" s="989"/>
      <c r="M269" s="990"/>
      <c r="N269" s="313"/>
      <c r="O269" s="426">
        <f t="shared" si="10"/>
        <v>0</v>
      </c>
      <c r="P269" s="286"/>
    </row>
    <row r="270" spans="2:16" ht="32.1" hidden="1" customHeight="1">
      <c r="B270" s="556"/>
      <c r="C270" s="312">
        <v>0</v>
      </c>
      <c r="D270" s="317">
        <f t="shared" si="9"/>
        <v>0</v>
      </c>
      <c r="E270" s="318" t="str">
        <f>VLOOKUP("[m]",Sprachindex!$A:$Z,Haftungsausschluß!$O$6,FALSE)</f>
        <v>[m]</v>
      </c>
      <c r="F270" s="318" t="str">
        <f>IF($L$14=1,Preisliste!$E$7,Preisliste!$F$7)</f>
        <v>H251000</v>
      </c>
      <c r="G270" s="988" t="str">
        <f>VLOOKUP("Dammbalken 25/200 exkl. Dichtung, gesägt und entgratet",Sprachindex!$A:$Z,Haftungsausschluß!$O$6,FALSE) &amp; " (" &amp; ROUNDUP(C270/1000*2.99,2) &amp; " " &amp; VLOOKUP("kg/Stk",Sprachindex!$A:$Z,Haftungsausschluß!$O$6,FALSE) &amp; ")" &amp; IF('Kalkulation 1'!$AH$33," " &amp; 'Kalkulation 1'!$R$9,"")</f>
        <v>Dammbalken 25/200 exkl. Dichtung, gesägt und entgratet (0 kg/Stk)</v>
      </c>
      <c r="H270" s="989"/>
      <c r="I270" s="989"/>
      <c r="J270" s="989"/>
      <c r="K270" s="989"/>
      <c r="L270" s="989"/>
      <c r="M270" s="990"/>
      <c r="N270" s="313"/>
      <c r="O270" s="426">
        <f t="shared" si="10"/>
        <v>0</v>
      </c>
      <c r="P270" s="286"/>
    </row>
    <row r="271" spans="2:16" ht="32.1" hidden="1" customHeight="1">
      <c r="B271" s="556"/>
      <c r="C271" s="312">
        <v>0</v>
      </c>
      <c r="D271" s="317">
        <f t="shared" ref="D271:D334" si="11">B271*C271/1000</f>
        <v>0</v>
      </c>
      <c r="E271" s="318" t="str">
        <f>VLOOKUP("[m]",Sprachindex!$A:$Z,Haftungsausschluß!$O$6,FALSE)</f>
        <v>[m]</v>
      </c>
      <c r="F271" s="318" t="str">
        <f>IF($L$14=1,Preisliste!$E$7,Preisliste!$F$7)</f>
        <v>H251000</v>
      </c>
      <c r="G271" s="988" t="str">
        <f>VLOOKUP("Dammbalken 25/200 exkl. Dichtung, gesägt und entgratet",Sprachindex!$A:$Z,Haftungsausschluß!$O$6,FALSE) &amp; " (" &amp; ROUNDUP(C271/1000*2.99,2) &amp; " " &amp; VLOOKUP("kg/Stk",Sprachindex!$A:$Z,Haftungsausschluß!$O$6,FALSE) &amp; ")" &amp; IF('Kalkulation 1'!$AH$33," " &amp; 'Kalkulation 1'!$R$9,"")</f>
        <v>Dammbalken 25/200 exkl. Dichtung, gesägt und entgratet (0 kg/Stk)</v>
      </c>
      <c r="H271" s="989"/>
      <c r="I271" s="989"/>
      <c r="J271" s="989"/>
      <c r="K271" s="989"/>
      <c r="L271" s="989"/>
      <c r="M271" s="990"/>
      <c r="N271" s="313"/>
      <c r="O271" s="426">
        <f t="shared" ref="O271:O334" si="12">N271*D271</f>
        <v>0</v>
      </c>
      <c r="P271" s="286"/>
    </row>
    <row r="272" spans="2:16" ht="32.1" hidden="1" customHeight="1">
      <c r="B272" s="556"/>
      <c r="C272" s="312">
        <v>0</v>
      </c>
      <c r="D272" s="317">
        <f t="shared" si="11"/>
        <v>0</v>
      </c>
      <c r="E272" s="318" t="str">
        <f>VLOOKUP("[m]",Sprachindex!$A:$Z,Haftungsausschluß!$O$6,FALSE)</f>
        <v>[m]</v>
      </c>
      <c r="F272" s="318" t="str">
        <f>IF($L$14=1,Preisliste!$E$7,Preisliste!$F$7)</f>
        <v>H251000</v>
      </c>
      <c r="G272" s="988" t="str">
        <f>VLOOKUP("Dammbalken 25/200 exkl. Dichtung, gesägt und entgratet",Sprachindex!$A:$Z,Haftungsausschluß!$O$6,FALSE) &amp; " (" &amp; ROUNDUP(C272/1000*2.99,2) &amp; " " &amp; VLOOKUP("kg/Stk",Sprachindex!$A:$Z,Haftungsausschluß!$O$6,FALSE) &amp; ")" &amp; IF('Kalkulation 1'!$AH$33," " &amp; 'Kalkulation 1'!$R$9,"")</f>
        <v>Dammbalken 25/200 exkl. Dichtung, gesägt und entgratet (0 kg/Stk)</v>
      </c>
      <c r="H272" s="989"/>
      <c r="I272" s="989"/>
      <c r="J272" s="989"/>
      <c r="K272" s="989"/>
      <c r="L272" s="989"/>
      <c r="M272" s="990"/>
      <c r="N272" s="313"/>
      <c r="O272" s="426">
        <f t="shared" si="12"/>
        <v>0</v>
      </c>
      <c r="P272" s="286"/>
    </row>
    <row r="273" spans="2:16" ht="32.1" hidden="1" customHeight="1">
      <c r="B273" s="556"/>
      <c r="C273" s="312">
        <v>0</v>
      </c>
      <c r="D273" s="317">
        <f t="shared" si="11"/>
        <v>0</v>
      </c>
      <c r="E273" s="318" t="str">
        <f>VLOOKUP("[m]",Sprachindex!$A:$Z,Haftungsausschluß!$O$6,FALSE)</f>
        <v>[m]</v>
      </c>
      <c r="F273" s="318" t="str">
        <f>IF($L$14=1,Preisliste!$E$7,Preisliste!$F$7)</f>
        <v>H251000</v>
      </c>
      <c r="G273" s="988" t="str">
        <f>VLOOKUP("Dammbalken 25/200 exkl. Dichtung, gesägt und entgratet",Sprachindex!$A:$Z,Haftungsausschluß!$O$6,FALSE) &amp; " (" &amp; ROUNDUP(C273/1000*2.99,2) &amp; " " &amp; VLOOKUP("kg/Stk",Sprachindex!$A:$Z,Haftungsausschluß!$O$6,FALSE) &amp; ")" &amp; IF('Kalkulation 1'!$AH$33," " &amp; 'Kalkulation 1'!$R$9,"")</f>
        <v>Dammbalken 25/200 exkl. Dichtung, gesägt und entgratet (0 kg/Stk)</v>
      </c>
      <c r="H273" s="989"/>
      <c r="I273" s="989"/>
      <c r="J273" s="989"/>
      <c r="K273" s="989"/>
      <c r="L273" s="989"/>
      <c r="M273" s="990"/>
      <c r="N273" s="313"/>
      <c r="O273" s="426">
        <f t="shared" si="12"/>
        <v>0</v>
      </c>
      <c r="P273" s="286"/>
    </row>
    <row r="274" spans="2:16" ht="32.1" hidden="1" customHeight="1">
      <c r="B274" s="556"/>
      <c r="C274" s="312">
        <v>0</v>
      </c>
      <c r="D274" s="317">
        <f t="shared" si="11"/>
        <v>0</v>
      </c>
      <c r="E274" s="318" t="str">
        <f>VLOOKUP("[m]",Sprachindex!$A:$Z,Haftungsausschluß!$O$6,FALSE)</f>
        <v>[m]</v>
      </c>
      <c r="F274" s="318" t="str">
        <f>IF($L$14=1,Preisliste!$E$7,Preisliste!$F$7)</f>
        <v>H251000</v>
      </c>
      <c r="G274" s="988" t="str">
        <f>VLOOKUP("Dammbalken 25/200 exkl. Dichtung, gesägt und entgratet",Sprachindex!$A:$Z,Haftungsausschluß!$O$6,FALSE) &amp; " (" &amp; ROUNDUP(C274/1000*2.99,2) &amp; " " &amp; VLOOKUP("kg/Stk",Sprachindex!$A:$Z,Haftungsausschluß!$O$6,FALSE) &amp; ")" &amp; IF('Kalkulation 1'!$AH$33," " &amp; 'Kalkulation 1'!$R$9,"")</f>
        <v>Dammbalken 25/200 exkl. Dichtung, gesägt und entgratet (0 kg/Stk)</v>
      </c>
      <c r="H274" s="989"/>
      <c r="I274" s="989"/>
      <c r="J274" s="989"/>
      <c r="K274" s="989"/>
      <c r="L274" s="989"/>
      <c r="M274" s="990"/>
      <c r="N274" s="313"/>
      <c r="O274" s="426">
        <f t="shared" si="12"/>
        <v>0</v>
      </c>
      <c r="P274" s="286"/>
    </row>
    <row r="275" spans="2:16" ht="32.1" hidden="1" customHeight="1">
      <c r="B275" s="556"/>
      <c r="C275" s="312">
        <v>0</v>
      </c>
      <c r="D275" s="317">
        <f t="shared" si="11"/>
        <v>0</v>
      </c>
      <c r="E275" s="318" t="str">
        <f>VLOOKUP("[m]",Sprachindex!$A:$Z,Haftungsausschluß!$O$6,FALSE)</f>
        <v>[m]</v>
      </c>
      <c r="F275" s="318" t="str">
        <f>IF($L$14=1,Preisliste!$E$7,Preisliste!$F$7)</f>
        <v>H251000</v>
      </c>
      <c r="G275" s="988" t="str">
        <f>VLOOKUP("Dammbalken 25/200 exkl. Dichtung, gesägt und entgratet",Sprachindex!$A:$Z,Haftungsausschluß!$O$6,FALSE) &amp; " (" &amp; ROUNDUP(C275/1000*2.99,2) &amp; " " &amp; VLOOKUP("kg/Stk",Sprachindex!$A:$Z,Haftungsausschluß!$O$6,FALSE) &amp; ")" &amp; IF('Kalkulation 1'!$AH$33," " &amp; 'Kalkulation 1'!$R$9,"")</f>
        <v>Dammbalken 25/200 exkl. Dichtung, gesägt und entgratet (0 kg/Stk)</v>
      </c>
      <c r="H275" s="989"/>
      <c r="I275" s="989"/>
      <c r="J275" s="989"/>
      <c r="K275" s="989"/>
      <c r="L275" s="989"/>
      <c r="M275" s="990"/>
      <c r="N275" s="313"/>
      <c r="O275" s="426">
        <f t="shared" si="12"/>
        <v>0</v>
      </c>
      <c r="P275" s="286"/>
    </row>
    <row r="276" spans="2:16" ht="32.1" hidden="1" customHeight="1">
      <c r="B276" s="556"/>
      <c r="C276" s="312">
        <v>0</v>
      </c>
      <c r="D276" s="317">
        <f t="shared" si="11"/>
        <v>0</v>
      </c>
      <c r="E276" s="318" t="str">
        <f>VLOOKUP("[m]",Sprachindex!$A:$Z,Haftungsausschluß!$O$6,FALSE)</f>
        <v>[m]</v>
      </c>
      <c r="F276" s="318" t="str">
        <f>IF($L$14=1,Preisliste!$E$7,Preisliste!$F$7)</f>
        <v>H251000</v>
      </c>
      <c r="G276" s="988" t="str">
        <f>VLOOKUP("Dammbalken 25/200 exkl. Dichtung, gesägt und entgratet",Sprachindex!$A:$Z,Haftungsausschluß!$O$6,FALSE) &amp; " (" &amp; ROUNDUP(C276/1000*2.99,2) &amp; " " &amp; VLOOKUP("kg/Stk",Sprachindex!$A:$Z,Haftungsausschluß!$O$6,FALSE) &amp; ")" &amp; IF('Kalkulation 1'!$AH$33," " &amp; 'Kalkulation 1'!$R$9,"")</f>
        <v>Dammbalken 25/200 exkl. Dichtung, gesägt und entgratet (0 kg/Stk)</v>
      </c>
      <c r="H276" s="989"/>
      <c r="I276" s="989"/>
      <c r="J276" s="989"/>
      <c r="K276" s="989"/>
      <c r="L276" s="989"/>
      <c r="M276" s="990"/>
      <c r="N276" s="313"/>
      <c r="O276" s="426">
        <f t="shared" si="12"/>
        <v>0</v>
      </c>
      <c r="P276" s="286"/>
    </row>
    <row r="277" spans="2:16" ht="32.1" hidden="1" customHeight="1">
      <c r="B277" s="556"/>
      <c r="C277" s="312">
        <v>0</v>
      </c>
      <c r="D277" s="317">
        <f t="shared" si="11"/>
        <v>0</v>
      </c>
      <c r="E277" s="318" t="str">
        <f>VLOOKUP("[m]",Sprachindex!$A:$Z,Haftungsausschluß!$O$6,FALSE)</f>
        <v>[m]</v>
      </c>
      <c r="F277" s="318" t="str">
        <f>IF($L$14=1,Preisliste!$E$7,Preisliste!$F$7)</f>
        <v>H251000</v>
      </c>
      <c r="G277" s="988" t="str">
        <f>VLOOKUP("Dammbalken 25/200 exkl. Dichtung, gesägt und entgratet",Sprachindex!$A:$Z,Haftungsausschluß!$O$6,FALSE) &amp; " (" &amp; ROUNDUP(C277/1000*2.99,2) &amp; " " &amp; VLOOKUP("kg/Stk",Sprachindex!$A:$Z,Haftungsausschluß!$O$6,FALSE) &amp; ")" &amp; IF('Kalkulation 1'!$AH$33," " &amp; 'Kalkulation 1'!$R$9,"")</f>
        <v>Dammbalken 25/200 exkl. Dichtung, gesägt und entgratet (0 kg/Stk)</v>
      </c>
      <c r="H277" s="989"/>
      <c r="I277" s="989"/>
      <c r="J277" s="989"/>
      <c r="K277" s="989"/>
      <c r="L277" s="989"/>
      <c r="M277" s="990"/>
      <c r="N277" s="313"/>
      <c r="O277" s="426">
        <f t="shared" si="12"/>
        <v>0</v>
      </c>
      <c r="P277" s="286"/>
    </row>
    <row r="278" spans="2:16" ht="32.1" hidden="1" customHeight="1">
      <c r="B278" s="556"/>
      <c r="C278" s="312">
        <v>0</v>
      </c>
      <c r="D278" s="317">
        <f t="shared" si="11"/>
        <v>0</v>
      </c>
      <c r="E278" s="318" t="str">
        <f>VLOOKUP("[m]",Sprachindex!$A:$Z,Haftungsausschluß!$O$6,FALSE)</f>
        <v>[m]</v>
      </c>
      <c r="F278" s="318" t="str">
        <f>IF($L$14=1,Preisliste!$E$7,Preisliste!$F$7)</f>
        <v>H251000</v>
      </c>
      <c r="G278" s="988" t="str">
        <f>VLOOKUP("Dammbalken 25/200 exkl. Dichtung, gesägt und entgratet",Sprachindex!$A:$Z,Haftungsausschluß!$O$6,FALSE) &amp; " (" &amp; ROUNDUP(C278/1000*2.99,2) &amp; " " &amp; VLOOKUP("kg/Stk",Sprachindex!$A:$Z,Haftungsausschluß!$O$6,FALSE) &amp; ")" &amp; IF('Kalkulation 1'!$AH$33," " &amp; 'Kalkulation 1'!$R$9,"")</f>
        <v>Dammbalken 25/200 exkl. Dichtung, gesägt und entgratet (0 kg/Stk)</v>
      </c>
      <c r="H278" s="989"/>
      <c r="I278" s="989"/>
      <c r="J278" s="989"/>
      <c r="K278" s="989"/>
      <c r="L278" s="989"/>
      <c r="M278" s="990"/>
      <c r="N278" s="313"/>
      <c r="O278" s="426">
        <f t="shared" si="12"/>
        <v>0</v>
      </c>
      <c r="P278" s="286"/>
    </row>
    <row r="279" spans="2:16" ht="32.1" hidden="1" customHeight="1">
      <c r="B279" s="556"/>
      <c r="C279" s="312">
        <v>0</v>
      </c>
      <c r="D279" s="317">
        <f t="shared" si="11"/>
        <v>0</v>
      </c>
      <c r="E279" s="318" t="str">
        <f>VLOOKUP("[m]",Sprachindex!$A:$Z,Haftungsausschluß!$O$6,FALSE)</f>
        <v>[m]</v>
      </c>
      <c r="F279" s="318" t="str">
        <f>IF($L$14=1,Preisliste!$E$7,Preisliste!$F$7)</f>
        <v>H251000</v>
      </c>
      <c r="G279" s="988" t="str">
        <f>VLOOKUP("Dammbalken 25/200 exkl. Dichtung, gesägt und entgratet",Sprachindex!$A:$Z,Haftungsausschluß!$O$6,FALSE) &amp; " (" &amp; ROUNDUP(C279/1000*2.99,2) &amp; " " &amp; VLOOKUP("kg/Stk",Sprachindex!$A:$Z,Haftungsausschluß!$O$6,FALSE) &amp; ")" &amp; IF('Kalkulation 1'!$AH$33," " &amp; 'Kalkulation 1'!$R$9,"")</f>
        <v>Dammbalken 25/200 exkl. Dichtung, gesägt und entgratet (0 kg/Stk)</v>
      </c>
      <c r="H279" s="989"/>
      <c r="I279" s="989"/>
      <c r="J279" s="989"/>
      <c r="K279" s="989"/>
      <c r="L279" s="989"/>
      <c r="M279" s="990"/>
      <c r="N279" s="313"/>
      <c r="O279" s="426">
        <f t="shared" si="12"/>
        <v>0</v>
      </c>
      <c r="P279" s="286"/>
    </row>
    <row r="280" spans="2:16" ht="32.1" hidden="1" customHeight="1">
      <c r="B280" s="556"/>
      <c r="C280" s="312">
        <v>0</v>
      </c>
      <c r="D280" s="317">
        <f t="shared" si="11"/>
        <v>0</v>
      </c>
      <c r="E280" s="318" t="str">
        <f>VLOOKUP("[m]",Sprachindex!$A:$Z,Haftungsausschluß!$O$6,FALSE)</f>
        <v>[m]</v>
      </c>
      <c r="F280" s="318" t="str">
        <f>IF($L$14=1,Preisliste!$E$7,Preisliste!$F$7)</f>
        <v>H251000</v>
      </c>
      <c r="G280" s="988" t="str">
        <f>VLOOKUP("Dammbalken 25/200 exkl. Dichtung, gesägt und entgratet",Sprachindex!$A:$Z,Haftungsausschluß!$O$6,FALSE) &amp; " (" &amp; ROUNDUP(C280/1000*2.99,2) &amp; " " &amp; VLOOKUP("kg/Stk",Sprachindex!$A:$Z,Haftungsausschluß!$O$6,FALSE) &amp; ")" &amp; IF('Kalkulation 1'!$AH$33," " &amp; 'Kalkulation 1'!$R$9,"")</f>
        <v>Dammbalken 25/200 exkl. Dichtung, gesägt und entgratet (0 kg/Stk)</v>
      </c>
      <c r="H280" s="989"/>
      <c r="I280" s="989"/>
      <c r="J280" s="989"/>
      <c r="K280" s="989"/>
      <c r="L280" s="989"/>
      <c r="M280" s="990"/>
      <c r="N280" s="313"/>
      <c r="O280" s="426">
        <f t="shared" si="12"/>
        <v>0</v>
      </c>
      <c r="P280" s="286"/>
    </row>
    <row r="281" spans="2:16" ht="32.1" hidden="1" customHeight="1">
      <c r="B281" s="556"/>
      <c r="C281" s="312">
        <v>0</v>
      </c>
      <c r="D281" s="317">
        <f t="shared" si="11"/>
        <v>0</v>
      </c>
      <c r="E281" s="318" t="str">
        <f>VLOOKUP("[m]",Sprachindex!$A:$Z,Haftungsausschluß!$O$6,FALSE)</f>
        <v>[m]</v>
      </c>
      <c r="F281" s="318" t="str">
        <f>IF($L$14=1,Preisliste!$E$7,Preisliste!$F$7)</f>
        <v>H251000</v>
      </c>
      <c r="G281" s="988" t="str">
        <f>VLOOKUP("Dammbalken 25/200 exkl. Dichtung, gesägt und entgratet",Sprachindex!$A:$Z,Haftungsausschluß!$O$6,FALSE) &amp; " (" &amp; ROUNDUP(C281/1000*2.99,2) &amp; " " &amp; VLOOKUP("kg/Stk",Sprachindex!$A:$Z,Haftungsausschluß!$O$6,FALSE) &amp; ")" &amp; IF('Kalkulation 1'!$AH$33," " &amp; 'Kalkulation 1'!$R$9,"")</f>
        <v>Dammbalken 25/200 exkl. Dichtung, gesägt und entgratet (0 kg/Stk)</v>
      </c>
      <c r="H281" s="989"/>
      <c r="I281" s="989"/>
      <c r="J281" s="989"/>
      <c r="K281" s="989"/>
      <c r="L281" s="989"/>
      <c r="M281" s="990"/>
      <c r="N281" s="313"/>
      <c r="O281" s="426">
        <f t="shared" si="12"/>
        <v>0</v>
      </c>
      <c r="P281" s="286"/>
    </row>
    <row r="282" spans="2:16" ht="32.1" hidden="1" customHeight="1">
      <c r="B282" s="556"/>
      <c r="C282" s="312">
        <v>0</v>
      </c>
      <c r="D282" s="317">
        <f t="shared" si="11"/>
        <v>0</v>
      </c>
      <c r="E282" s="318" t="str">
        <f>VLOOKUP("[m]",Sprachindex!$A:$Z,Haftungsausschluß!$O$6,FALSE)</f>
        <v>[m]</v>
      </c>
      <c r="F282" s="318" t="str">
        <f>IF($L$14=1,Preisliste!$E$7,Preisliste!$F$7)</f>
        <v>H251000</v>
      </c>
      <c r="G282" s="988" t="str">
        <f>VLOOKUP("Dammbalken 25/200 exkl. Dichtung, gesägt und entgratet",Sprachindex!$A:$Z,Haftungsausschluß!$O$6,FALSE) &amp; " (" &amp; ROUNDUP(C282/1000*2.99,2) &amp; " " &amp; VLOOKUP("kg/Stk",Sprachindex!$A:$Z,Haftungsausschluß!$O$6,FALSE) &amp; ")" &amp; IF('Kalkulation 1'!$AH$33," " &amp; 'Kalkulation 1'!$R$9,"")</f>
        <v>Dammbalken 25/200 exkl. Dichtung, gesägt und entgratet (0 kg/Stk)</v>
      </c>
      <c r="H282" s="989"/>
      <c r="I282" s="989"/>
      <c r="J282" s="989"/>
      <c r="K282" s="989"/>
      <c r="L282" s="989"/>
      <c r="M282" s="990"/>
      <c r="N282" s="313"/>
      <c r="O282" s="426">
        <f t="shared" si="12"/>
        <v>0</v>
      </c>
      <c r="P282" s="286"/>
    </row>
    <row r="283" spans="2:16" ht="32.1" hidden="1" customHeight="1">
      <c r="B283" s="556"/>
      <c r="C283" s="312">
        <v>0</v>
      </c>
      <c r="D283" s="317">
        <f t="shared" si="11"/>
        <v>0</v>
      </c>
      <c r="E283" s="318" t="str">
        <f>VLOOKUP("[m]",Sprachindex!$A:$Z,Haftungsausschluß!$O$6,FALSE)</f>
        <v>[m]</v>
      </c>
      <c r="F283" s="318" t="str">
        <f>IF($L$14=1,Preisliste!$E$7,Preisliste!$F$7)</f>
        <v>H251000</v>
      </c>
      <c r="G283" s="988" t="str">
        <f>VLOOKUP("Dammbalken 25/200 exkl. Dichtung, gesägt und entgratet",Sprachindex!$A:$Z,Haftungsausschluß!$O$6,FALSE) &amp; " (" &amp; ROUNDUP(C283/1000*2.99,2) &amp; " " &amp; VLOOKUP("kg/Stk",Sprachindex!$A:$Z,Haftungsausschluß!$O$6,FALSE) &amp; ")" &amp; IF('Kalkulation 1'!$AH$33," " &amp; 'Kalkulation 1'!$R$9,"")</f>
        <v>Dammbalken 25/200 exkl. Dichtung, gesägt und entgratet (0 kg/Stk)</v>
      </c>
      <c r="H283" s="989"/>
      <c r="I283" s="989"/>
      <c r="J283" s="989"/>
      <c r="K283" s="989"/>
      <c r="L283" s="989"/>
      <c r="M283" s="990"/>
      <c r="N283" s="313"/>
      <c r="O283" s="426">
        <f t="shared" si="12"/>
        <v>0</v>
      </c>
      <c r="P283" s="286"/>
    </row>
    <row r="284" spans="2:16" ht="32.1" hidden="1" customHeight="1">
      <c r="B284" s="556"/>
      <c r="C284" s="312">
        <v>0</v>
      </c>
      <c r="D284" s="317">
        <f t="shared" si="11"/>
        <v>0</v>
      </c>
      <c r="E284" s="318" t="str">
        <f>VLOOKUP("[m]",Sprachindex!$A:$Z,Haftungsausschluß!$O$6,FALSE)</f>
        <v>[m]</v>
      </c>
      <c r="F284" s="318" t="str">
        <f>IF($L$14=1,Preisliste!$E$7,Preisliste!$F$7)</f>
        <v>H251000</v>
      </c>
      <c r="G284" s="988" t="str">
        <f>VLOOKUP("Dammbalken 25/200 exkl. Dichtung, gesägt und entgratet",Sprachindex!$A:$Z,Haftungsausschluß!$O$6,FALSE) &amp; " (" &amp; ROUNDUP(C284/1000*2.99,2) &amp; " " &amp; VLOOKUP("kg/Stk",Sprachindex!$A:$Z,Haftungsausschluß!$O$6,FALSE) &amp; ")" &amp; IF('Kalkulation 1'!$AH$33," " &amp; 'Kalkulation 1'!$R$9,"")</f>
        <v>Dammbalken 25/200 exkl. Dichtung, gesägt und entgratet (0 kg/Stk)</v>
      </c>
      <c r="H284" s="989"/>
      <c r="I284" s="989"/>
      <c r="J284" s="989"/>
      <c r="K284" s="989"/>
      <c r="L284" s="989"/>
      <c r="M284" s="990"/>
      <c r="N284" s="313"/>
      <c r="O284" s="426">
        <f t="shared" si="12"/>
        <v>0</v>
      </c>
      <c r="P284" s="286"/>
    </row>
    <row r="285" spans="2:16" ht="32.1" hidden="1" customHeight="1">
      <c r="B285" s="556"/>
      <c r="C285" s="312">
        <v>0</v>
      </c>
      <c r="D285" s="317">
        <f t="shared" si="11"/>
        <v>0</v>
      </c>
      <c r="E285" s="318" t="str">
        <f>VLOOKUP("[m]",Sprachindex!$A:$Z,Haftungsausschluß!$O$6,FALSE)</f>
        <v>[m]</v>
      </c>
      <c r="F285" s="318" t="str">
        <f>IF($L$14=1,Preisliste!$E$7,Preisliste!$F$7)</f>
        <v>H251000</v>
      </c>
      <c r="G285" s="988" t="str">
        <f>VLOOKUP("Dammbalken 25/200 exkl. Dichtung, gesägt und entgratet",Sprachindex!$A:$Z,Haftungsausschluß!$O$6,FALSE) &amp; " (" &amp; ROUNDUP(C285/1000*2.99,2) &amp; " " &amp; VLOOKUP("kg/Stk",Sprachindex!$A:$Z,Haftungsausschluß!$O$6,FALSE) &amp; ")" &amp; IF('Kalkulation 1'!$AH$33," " &amp; 'Kalkulation 1'!$R$9,"")</f>
        <v>Dammbalken 25/200 exkl. Dichtung, gesägt und entgratet (0 kg/Stk)</v>
      </c>
      <c r="H285" s="989"/>
      <c r="I285" s="989"/>
      <c r="J285" s="989"/>
      <c r="K285" s="989"/>
      <c r="L285" s="989"/>
      <c r="M285" s="990"/>
      <c r="N285" s="313"/>
      <c r="O285" s="426">
        <f t="shared" si="12"/>
        <v>0</v>
      </c>
      <c r="P285" s="286"/>
    </row>
    <row r="286" spans="2:16" ht="32.1" hidden="1" customHeight="1">
      <c r="B286" s="556"/>
      <c r="C286" s="312">
        <v>0</v>
      </c>
      <c r="D286" s="317">
        <f t="shared" si="11"/>
        <v>0</v>
      </c>
      <c r="E286" s="318" t="str">
        <f>VLOOKUP("[m]",Sprachindex!$A:$Z,Haftungsausschluß!$O$6,FALSE)</f>
        <v>[m]</v>
      </c>
      <c r="F286" s="318" t="str">
        <f>IF($L$14=1,Preisliste!$E$7,Preisliste!$F$7)</f>
        <v>H251000</v>
      </c>
      <c r="G286" s="988" t="str">
        <f>VLOOKUP("Dammbalken 25/200 exkl. Dichtung, gesägt und entgratet",Sprachindex!$A:$Z,Haftungsausschluß!$O$6,FALSE) &amp; " (" &amp; ROUNDUP(C286/1000*2.99,2) &amp; " " &amp; VLOOKUP("kg/Stk",Sprachindex!$A:$Z,Haftungsausschluß!$O$6,FALSE) &amp; ")" &amp; IF('Kalkulation 1'!$AH$33," " &amp; 'Kalkulation 1'!$R$9,"")</f>
        <v>Dammbalken 25/200 exkl. Dichtung, gesägt und entgratet (0 kg/Stk)</v>
      </c>
      <c r="H286" s="989"/>
      <c r="I286" s="989"/>
      <c r="J286" s="989"/>
      <c r="K286" s="989"/>
      <c r="L286" s="989"/>
      <c r="M286" s="990"/>
      <c r="N286" s="313"/>
      <c r="O286" s="426">
        <f t="shared" si="12"/>
        <v>0</v>
      </c>
      <c r="P286" s="286"/>
    </row>
    <row r="287" spans="2:16" ht="32.1" hidden="1" customHeight="1">
      <c r="B287" s="556"/>
      <c r="C287" s="312">
        <v>0</v>
      </c>
      <c r="D287" s="317">
        <f t="shared" si="11"/>
        <v>0</v>
      </c>
      <c r="E287" s="318" t="str">
        <f>VLOOKUP("[m]",Sprachindex!$A:$Z,Haftungsausschluß!$O$6,FALSE)</f>
        <v>[m]</v>
      </c>
      <c r="F287" s="318" t="str">
        <f>IF($L$14=1,Preisliste!$E$7,Preisliste!$F$7)</f>
        <v>H251000</v>
      </c>
      <c r="G287" s="988" t="str">
        <f>VLOOKUP("Dammbalken 25/200 exkl. Dichtung, gesägt und entgratet",Sprachindex!$A:$Z,Haftungsausschluß!$O$6,FALSE) &amp; " (" &amp; ROUNDUP(C287/1000*2.99,2) &amp; " " &amp; VLOOKUP("kg/Stk",Sprachindex!$A:$Z,Haftungsausschluß!$O$6,FALSE) &amp; ")" &amp; IF('Kalkulation 1'!$AH$33," " &amp; 'Kalkulation 1'!$R$9,"")</f>
        <v>Dammbalken 25/200 exkl. Dichtung, gesägt und entgratet (0 kg/Stk)</v>
      </c>
      <c r="H287" s="989"/>
      <c r="I287" s="989"/>
      <c r="J287" s="989"/>
      <c r="K287" s="989"/>
      <c r="L287" s="989"/>
      <c r="M287" s="990"/>
      <c r="N287" s="313"/>
      <c r="O287" s="426">
        <f t="shared" si="12"/>
        <v>0</v>
      </c>
      <c r="P287" s="286"/>
    </row>
    <row r="288" spans="2:16" ht="32.1" hidden="1" customHeight="1">
      <c r="B288" s="556"/>
      <c r="C288" s="312">
        <v>0</v>
      </c>
      <c r="D288" s="317">
        <f t="shared" si="11"/>
        <v>0</v>
      </c>
      <c r="E288" s="318" t="str">
        <f>VLOOKUP("[m]",Sprachindex!$A:$Z,Haftungsausschluß!$O$6,FALSE)</f>
        <v>[m]</v>
      </c>
      <c r="F288" s="318" t="str">
        <f>IF($L$14=1,Preisliste!$E$7,Preisliste!$F$7)</f>
        <v>H251000</v>
      </c>
      <c r="G288" s="988" t="str">
        <f>VLOOKUP("Dammbalken 25/200 exkl. Dichtung, gesägt und entgratet",Sprachindex!$A:$Z,Haftungsausschluß!$O$6,FALSE) &amp; " (" &amp; ROUNDUP(C288/1000*2.99,2) &amp; " " &amp; VLOOKUP("kg/Stk",Sprachindex!$A:$Z,Haftungsausschluß!$O$6,FALSE) &amp; ")" &amp; IF('Kalkulation 1'!$AH$33," " &amp; 'Kalkulation 1'!$R$9,"")</f>
        <v>Dammbalken 25/200 exkl. Dichtung, gesägt und entgratet (0 kg/Stk)</v>
      </c>
      <c r="H288" s="989"/>
      <c r="I288" s="989"/>
      <c r="J288" s="989"/>
      <c r="K288" s="989"/>
      <c r="L288" s="989"/>
      <c r="M288" s="990"/>
      <c r="N288" s="313"/>
      <c r="O288" s="426">
        <f t="shared" si="12"/>
        <v>0</v>
      </c>
      <c r="P288" s="286"/>
    </row>
    <row r="289" spans="2:16" ht="32.1" hidden="1" customHeight="1">
      <c r="B289" s="556"/>
      <c r="C289" s="312">
        <v>0</v>
      </c>
      <c r="D289" s="317">
        <f t="shared" si="11"/>
        <v>0</v>
      </c>
      <c r="E289" s="318" t="str">
        <f>VLOOKUP("[m]",Sprachindex!$A:$Z,Haftungsausschluß!$O$6,FALSE)</f>
        <v>[m]</v>
      </c>
      <c r="F289" s="318" t="str">
        <f>IF($L$14=1,Preisliste!$E$7,Preisliste!$F$7)</f>
        <v>H251000</v>
      </c>
      <c r="G289" s="988" t="str">
        <f>VLOOKUP("Dammbalken 25/200 exkl. Dichtung, gesägt und entgratet",Sprachindex!$A:$Z,Haftungsausschluß!$O$6,FALSE) &amp; " (" &amp; ROUNDUP(C289/1000*2.99,2) &amp; " " &amp; VLOOKUP("kg/Stk",Sprachindex!$A:$Z,Haftungsausschluß!$O$6,FALSE) &amp; ")" &amp; IF('Kalkulation 1'!$AH$33," " &amp; 'Kalkulation 1'!$R$9,"")</f>
        <v>Dammbalken 25/200 exkl. Dichtung, gesägt und entgratet (0 kg/Stk)</v>
      </c>
      <c r="H289" s="989"/>
      <c r="I289" s="989"/>
      <c r="J289" s="989"/>
      <c r="K289" s="989"/>
      <c r="L289" s="989"/>
      <c r="M289" s="990"/>
      <c r="N289" s="313"/>
      <c r="O289" s="426">
        <f t="shared" si="12"/>
        <v>0</v>
      </c>
      <c r="P289" s="286"/>
    </row>
    <row r="290" spans="2:16" ht="32.1" hidden="1" customHeight="1">
      <c r="B290" s="556"/>
      <c r="C290" s="312">
        <v>0</v>
      </c>
      <c r="D290" s="317">
        <f t="shared" si="11"/>
        <v>0</v>
      </c>
      <c r="E290" s="318" t="str">
        <f>VLOOKUP("[m]",Sprachindex!$A:$Z,Haftungsausschluß!$O$6,FALSE)</f>
        <v>[m]</v>
      </c>
      <c r="F290" s="318" t="str">
        <f>IF($L$14=1,Preisliste!$E$7,Preisliste!$F$7)</f>
        <v>H251000</v>
      </c>
      <c r="G290" s="988" t="str">
        <f>VLOOKUP("Dammbalken 25/200 exkl. Dichtung, gesägt und entgratet",Sprachindex!$A:$Z,Haftungsausschluß!$O$6,FALSE) &amp; " (" &amp; ROUNDUP(C290/1000*2.99,2) &amp; " " &amp; VLOOKUP("kg/Stk",Sprachindex!$A:$Z,Haftungsausschluß!$O$6,FALSE) &amp; ")" &amp; IF('Kalkulation 1'!$AH$33," " &amp; 'Kalkulation 1'!$R$9,"")</f>
        <v>Dammbalken 25/200 exkl. Dichtung, gesägt und entgratet (0 kg/Stk)</v>
      </c>
      <c r="H290" s="989"/>
      <c r="I290" s="989"/>
      <c r="J290" s="989"/>
      <c r="K290" s="989"/>
      <c r="L290" s="989"/>
      <c r="M290" s="990"/>
      <c r="N290" s="313"/>
      <c r="O290" s="426">
        <f t="shared" si="12"/>
        <v>0</v>
      </c>
      <c r="P290" s="286"/>
    </row>
    <row r="291" spans="2:16" ht="32.1" hidden="1" customHeight="1">
      <c r="B291" s="556"/>
      <c r="C291" s="312">
        <v>0</v>
      </c>
      <c r="D291" s="317">
        <f t="shared" si="11"/>
        <v>0</v>
      </c>
      <c r="E291" s="318" t="str">
        <f>VLOOKUP("[m]",Sprachindex!$A:$Z,Haftungsausschluß!$O$6,FALSE)</f>
        <v>[m]</v>
      </c>
      <c r="F291" s="318" t="str">
        <f>IF($L$14=1,Preisliste!$E$7,Preisliste!$F$7)</f>
        <v>H251000</v>
      </c>
      <c r="G291" s="988" t="str">
        <f>VLOOKUP("Dammbalken 25/200 exkl. Dichtung, gesägt und entgratet",Sprachindex!$A:$Z,Haftungsausschluß!$O$6,FALSE) &amp; " (" &amp; ROUNDUP(C291/1000*2.99,2) &amp; " " &amp; VLOOKUP("kg/Stk",Sprachindex!$A:$Z,Haftungsausschluß!$O$6,FALSE) &amp; ")" &amp; IF('Kalkulation 1'!$AH$33," " &amp; 'Kalkulation 1'!$R$9,"")</f>
        <v>Dammbalken 25/200 exkl. Dichtung, gesägt und entgratet (0 kg/Stk)</v>
      </c>
      <c r="H291" s="989"/>
      <c r="I291" s="989"/>
      <c r="J291" s="989"/>
      <c r="K291" s="989"/>
      <c r="L291" s="989"/>
      <c r="M291" s="990"/>
      <c r="N291" s="313"/>
      <c r="O291" s="426">
        <f t="shared" si="12"/>
        <v>0</v>
      </c>
      <c r="P291" s="286"/>
    </row>
    <row r="292" spans="2:16" ht="32.1" hidden="1" customHeight="1">
      <c r="B292" s="556"/>
      <c r="C292" s="312">
        <v>0</v>
      </c>
      <c r="D292" s="317">
        <f t="shared" si="11"/>
        <v>0</v>
      </c>
      <c r="E292" s="318" t="str">
        <f>VLOOKUP("[m]",Sprachindex!$A:$Z,Haftungsausschluß!$O$6,FALSE)</f>
        <v>[m]</v>
      </c>
      <c r="F292" s="318" t="str">
        <f>IF($L$14=1,Preisliste!$E$7,Preisliste!$F$7)</f>
        <v>H251000</v>
      </c>
      <c r="G292" s="988" t="str">
        <f>VLOOKUP("Dammbalken 25/200 exkl. Dichtung, gesägt und entgratet",Sprachindex!$A:$Z,Haftungsausschluß!$O$6,FALSE) &amp; " (" &amp; ROUNDUP(C292/1000*2.99,2) &amp; " " &amp; VLOOKUP("kg/Stk",Sprachindex!$A:$Z,Haftungsausschluß!$O$6,FALSE) &amp; ")" &amp; IF('Kalkulation 1'!$AH$33," " &amp; 'Kalkulation 1'!$R$9,"")</f>
        <v>Dammbalken 25/200 exkl. Dichtung, gesägt und entgratet (0 kg/Stk)</v>
      </c>
      <c r="H292" s="989"/>
      <c r="I292" s="989"/>
      <c r="J292" s="989"/>
      <c r="K292" s="989"/>
      <c r="L292" s="989"/>
      <c r="M292" s="990"/>
      <c r="N292" s="313"/>
      <c r="O292" s="426">
        <f t="shared" si="12"/>
        <v>0</v>
      </c>
      <c r="P292" s="286"/>
    </row>
    <row r="293" spans="2:16" ht="32.1" hidden="1" customHeight="1">
      <c r="B293" s="556"/>
      <c r="C293" s="312">
        <v>0</v>
      </c>
      <c r="D293" s="317">
        <f t="shared" si="11"/>
        <v>0</v>
      </c>
      <c r="E293" s="318" t="str">
        <f>VLOOKUP("[m]",Sprachindex!$A:$Z,Haftungsausschluß!$O$6,FALSE)</f>
        <v>[m]</v>
      </c>
      <c r="F293" s="318" t="str">
        <f>IF($L$14=1,Preisliste!$E$7,Preisliste!$F$7)</f>
        <v>H251000</v>
      </c>
      <c r="G293" s="988" t="str">
        <f>VLOOKUP("Dammbalken 25/200 exkl. Dichtung, gesägt und entgratet",Sprachindex!$A:$Z,Haftungsausschluß!$O$6,FALSE) &amp; " (" &amp; ROUNDUP(C293/1000*2.99,2) &amp; " " &amp; VLOOKUP("kg/Stk",Sprachindex!$A:$Z,Haftungsausschluß!$O$6,FALSE) &amp; ")" &amp; IF('Kalkulation 1'!$AH$33," " &amp; 'Kalkulation 1'!$R$9,"")</f>
        <v>Dammbalken 25/200 exkl. Dichtung, gesägt und entgratet (0 kg/Stk)</v>
      </c>
      <c r="H293" s="989"/>
      <c r="I293" s="989"/>
      <c r="J293" s="989"/>
      <c r="K293" s="989"/>
      <c r="L293" s="989"/>
      <c r="M293" s="990"/>
      <c r="N293" s="313"/>
      <c r="O293" s="426">
        <f t="shared" si="12"/>
        <v>0</v>
      </c>
      <c r="P293" s="286"/>
    </row>
    <row r="294" spans="2:16" ht="32.1" hidden="1" customHeight="1">
      <c r="B294" s="556"/>
      <c r="C294" s="312">
        <v>0</v>
      </c>
      <c r="D294" s="317">
        <f t="shared" si="11"/>
        <v>0</v>
      </c>
      <c r="E294" s="318" t="str">
        <f>VLOOKUP("[m]",Sprachindex!$A:$Z,Haftungsausschluß!$O$6,FALSE)</f>
        <v>[m]</v>
      </c>
      <c r="F294" s="318" t="str">
        <f>IF($L$14=1,Preisliste!$E$7,Preisliste!$F$7)</f>
        <v>H251000</v>
      </c>
      <c r="G294" s="988" t="str">
        <f>VLOOKUP("Dammbalken 25/200 exkl. Dichtung, gesägt und entgratet",Sprachindex!$A:$Z,Haftungsausschluß!$O$6,FALSE) &amp; " (" &amp; ROUNDUP(C294/1000*2.99,2) &amp; " " &amp; VLOOKUP("kg/Stk",Sprachindex!$A:$Z,Haftungsausschluß!$O$6,FALSE) &amp; ")" &amp; IF('Kalkulation 1'!$AH$33," " &amp; 'Kalkulation 1'!$R$9,"")</f>
        <v>Dammbalken 25/200 exkl. Dichtung, gesägt und entgratet (0 kg/Stk)</v>
      </c>
      <c r="H294" s="989"/>
      <c r="I294" s="989"/>
      <c r="J294" s="989"/>
      <c r="K294" s="989"/>
      <c r="L294" s="989"/>
      <c r="M294" s="990"/>
      <c r="N294" s="313"/>
      <c r="O294" s="426">
        <f t="shared" si="12"/>
        <v>0</v>
      </c>
      <c r="P294" s="286"/>
    </row>
    <row r="295" spans="2:16" ht="32.1" hidden="1" customHeight="1">
      <c r="B295" s="556"/>
      <c r="C295" s="312">
        <v>0</v>
      </c>
      <c r="D295" s="317">
        <f t="shared" si="11"/>
        <v>0</v>
      </c>
      <c r="E295" s="318" t="str">
        <f>VLOOKUP("[m]",Sprachindex!$A:$Z,Haftungsausschluß!$O$6,FALSE)</f>
        <v>[m]</v>
      </c>
      <c r="F295" s="318" t="str">
        <f>IF($L$14=1,Preisliste!$E$7,Preisliste!$F$7)</f>
        <v>H251000</v>
      </c>
      <c r="G295" s="988" t="str">
        <f>VLOOKUP("Dammbalken 25/200 exkl. Dichtung, gesägt und entgratet",Sprachindex!$A:$Z,Haftungsausschluß!$O$6,FALSE) &amp; " (" &amp; ROUNDUP(C295/1000*2.99,2) &amp; " " &amp; VLOOKUP("kg/Stk",Sprachindex!$A:$Z,Haftungsausschluß!$O$6,FALSE) &amp; ")" &amp; IF('Kalkulation 1'!$AH$33," " &amp; 'Kalkulation 1'!$R$9,"")</f>
        <v>Dammbalken 25/200 exkl. Dichtung, gesägt und entgratet (0 kg/Stk)</v>
      </c>
      <c r="H295" s="989"/>
      <c r="I295" s="989"/>
      <c r="J295" s="989"/>
      <c r="K295" s="989"/>
      <c r="L295" s="989"/>
      <c r="M295" s="990"/>
      <c r="N295" s="313"/>
      <c r="O295" s="426">
        <f t="shared" si="12"/>
        <v>0</v>
      </c>
      <c r="P295" s="286"/>
    </row>
    <row r="296" spans="2:16" ht="32.1" hidden="1" customHeight="1">
      <c r="B296" s="556"/>
      <c r="C296" s="312">
        <v>0</v>
      </c>
      <c r="D296" s="317">
        <f t="shared" si="11"/>
        <v>0</v>
      </c>
      <c r="E296" s="318" t="str">
        <f>VLOOKUP("[m]",Sprachindex!$A:$Z,Haftungsausschluß!$O$6,FALSE)</f>
        <v>[m]</v>
      </c>
      <c r="F296" s="318" t="str">
        <f>IF($L$14=1,Preisliste!$E$7,Preisliste!$F$7)</f>
        <v>H251000</v>
      </c>
      <c r="G296" s="988" t="str">
        <f>VLOOKUP("Dammbalken 25/200 exkl. Dichtung, gesägt und entgratet",Sprachindex!$A:$Z,Haftungsausschluß!$O$6,FALSE) &amp; " (" &amp; ROUNDUP(C296/1000*2.99,2) &amp; " " &amp; VLOOKUP("kg/Stk",Sprachindex!$A:$Z,Haftungsausschluß!$O$6,FALSE) &amp; ")" &amp; IF('Kalkulation 1'!$AH$33," " &amp; 'Kalkulation 1'!$R$9,"")</f>
        <v>Dammbalken 25/200 exkl. Dichtung, gesägt und entgratet (0 kg/Stk)</v>
      </c>
      <c r="H296" s="989"/>
      <c r="I296" s="989"/>
      <c r="J296" s="989"/>
      <c r="K296" s="989"/>
      <c r="L296" s="989"/>
      <c r="M296" s="990"/>
      <c r="N296" s="313"/>
      <c r="O296" s="426">
        <f t="shared" si="12"/>
        <v>0</v>
      </c>
      <c r="P296" s="286"/>
    </row>
    <row r="297" spans="2:16" ht="32.1" hidden="1" customHeight="1">
      <c r="B297" s="556"/>
      <c r="C297" s="312">
        <v>0</v>
      </c>
      <c r="D297" s="317">
        <f t="shared" si="11"/>
        <v>0</v>
      </c>
      <c r="E297" s="318" t="str">
        <f>VLOOKUP("[m]",Sprachindex!$A:$Z,Haftungsausschluß!$O$6,FALSE)</f>
        <v>[m]</v>
      </c>
      <c r="F297" s="318" t="str">
        <f>IF($L$14=1,Preisliste!$E$7,Preisliste!$F$7)</f>
        <v>H251000</v>
      </c>
      <c r="G297" s="988" t="str">
        <f>VLOOKUP("Dammbalken 25/200 exkl. Dichtung, gesägt und entgratet",Sprachindex!$A:$Z,Haftungsausschluß!$O$6,FALSE) &amp; " (" &amp; ROUNDUP(C297/1000*2.99,2) &amp; " " &amp; VLOOKUP("kg/Stk",Sprachindex!$A:$Z,Haftungsausschluß!$O$6,FALSE) &amp; ")" &amp; IF('Kalkulation 1'!$AH$33," " &amp; 'Kalkulation 1'!$R$9,"")</f>
        <v>Dammbalken 25/200 exkl. Dichtung, gesägt und entgratet (0 kg/Stk)</v>
      </c>
      <c r="H297" s="989"/>
      <c r="I297" s="989"/>
      <c r="J297" s="989"/>
      <c r="K297" s="989"/>
      <c r="L297" s="989"/>
      <c r="M297" s="990"/>
      <c r="N297" s="313"/>
      <c r="O297" s="426">
        <f t="shared" si="12"/>
        <v>0</v>
      </c>
      <c r="P297" s="286"/>
    </row>
    <row r="298" spans="2:16" ht="32.1" hidden="1" customHeight="1">
      <c r="B298" s="556"/>
      <c r="C298" s="312">
        <v>0</v>
      </c>
      <c r="D298" s="317">
        <f t="shared" si="11"/>
        <v>0</v>
      </c>
      <c r="E298" s="318" t="str">
        <f>VLOOKUP("[m]",Sprachindex!$A:$Z,Haftungsausschluß!$O$6,FALSE)</f>
        <v>[m]</v>
      </c>
      <c r="F298" s="318" t="str">
        <f>IF($L$14=1,Preisliste!$E$7,Preisliste!$F$7)</f>
        <v>H251000</v>
      </c>
      <c r="G298" s="988" t="str">
        <f>VLOOKUP("Dammbalken 25/200 exkl. Dichtung, gesägt und entgratet",Sprachindex!$A:$Z,Haftungsausschluß!$O$6,FALSE) &amp; " (" &amp; ROUNDUP(C298/1000*2.99,2) &amp; " " &amp; VLOOKUP("kg/Stk",Sprachindex!$A:$Z,Haftungsausschluß!$O$6,FALSE) &amp; ")" &amp; IF('Kalkulation 1'!$AH$33," " &amp; 'Kalkulation 1'!$R$9,"")</f>
        <v>Dammbalken 25/200 exkl. Dichtung, gesägt und entgratet (0 kg/Stk)</v>
      </c>
      <c r="H298" s="989"/>
      <c r="I298" s="989"/>
      <c r="J298" s="989"/>
      <c r="K298" s="989"/>
      <c r="L298" s="989"/>
      <c r="M298" s="990"/>
      <c r="N298" s="313"/>
      <c r="O298" s="426">
        <f t="shared" si="12"/>
        <v>0</v>
      </c>
      <c r="P298" s="286"/>
    </row>
    <row r="299" spans="2:16" ht="32.1" hidden="1" customHeight="1">
      <c r="B299" s="556"/>
      <c r="C299" s="312">
        <v>0</v>
      </c>
      <c r="D299" s="317">
        <f t="shared" si="11"/>
        <v>0</v>
      </c>
      <c r="E299" s="318" t="str">
        <f>VLOOKUP("[m]",Sprachindex!$A:$Z,Haftungsausschluß!$O$6,FALSE)</f>
        <v>[m]</v>
      </c>
      <c r="F299" s="318" t="str">
        <f>IF($L$14=1,Preisliste!$E$7,Preisliste!$F$7)</f>
        <v>H251000</v>
      </c>
      <c r="G299" s="988" t="str">
        <f>VLOOKUP("Dammbalken 25/200 exkl. Dichtung, gesägt und entgratet",Sprachindex!$A:$Z,Haftungsausschluß!$O$6,FALSE) &amp; " (" &amp; ROUNDUP(C299/1000*2.99,2) &amp; " " &amp; VLOOKUP("kg/Stk",Sprachindex!$A:$Z,Haftungsausschluß!$O$6,FALSE) &amp; ")" &amp; IF('Kalkulation 1'!$AH$33," " &amp; 'Kalkulation 1'!$R$9,"")</f>
        <v>Dammbalken 25/200 exkl. Dichtung, gesägt und entgratet (0 kg/Stk)</v>
      </c>
      <c r="H299" s="989"/>
      <c r="I299" s="989"/>
      <c r="J299" s="989"/>
      <c r="K299" s="989"/>
      <c r="L299" s="989"/>
      <c r="M299" s="990"/>
      <c r="N299" s="313"/>
      <c r="O299" s="426">
        <f t="shared" si="12"/>
        <v>0</v>
      </c>
      <c r="P299" s="286"/>
    </row>
    <row r="300" spans="2:16" ht="32.1" hidden="1" customHeight="1">
      <c r="B300" s="556"/>
      <c r="C300" s="312">
        <v>0</v>
      </c>
      <c r="D300" s="317">
        <f t="shared" si="11"/>
        <v>0</v>
      </c>
      <c r="E300" s="318" t="str">
        <f>VLOOKUP("[m]",Sprachindex!$A:$Z,Haftungsausschluß!$O$6,FALSE)</f>
        <v>[m]</v>
      </c>
      <c r="F300" s="318" t="str">
        <f>IF($L$14=1,Preisliste!$E$7,Preisliste!$F$7)</f>
        <v>H251000</v>
      </c>
      <c r="G300" s="988" t="str">
        <f>VLOOKUP("Dammbalken 25/200 exkl. Dichtung, gesägt und entgratet",Sprachindex!$A:$Z,Haftungsausschluß!$O$6,FALSE) &amp; " (" &amp; ROUNDUP(C300/1000*2.99,2) &amp; " " &amp; VLOOKUP("kg/Stk",Sprachindex!$A:$Z,Haftungsausschluß!$O$6,FALSE) &amp; ")" &amp; IF('Kalkulation 1'!$AH$33," " &amp; 'Kalkulation 1'!$R$9,"")</f>
        <v>Dammbalken 25/200 exkl. Dichtung, gesägt und entgratet (0 kg/Stk)</v>
      </c>
      <c r="H300" s="989"/>
      <c r="I300" s="989"/>
      <c r="J300" s="989"/>
      <c r="K300" s="989"/>
      <c r="L300" s="989"/>
      <c r="M300" s="990"/>
      <c r="N300" s="313"/>
      <c r="O300" s="426">
        <f t="shared" si="12"/>
        <v>0</v>
      </c>
      <c r="P300" s="286"/>
    </row>
    <row r="301" spans="2:16" ht="32.1" hidden="1" customHeight="1">
      <c r="B301" s="556"/>
      <c r="C301" s="312">
        <v>0</v>
      </c>
      <c r="D301" s="317">
        <f t="shared" si="11"/>
        <v>0</v>
      </c>
      <c r="E301" s="318" t="str">
        <f>VLOOKUP("[m]",Sprachindex!$A:$Z,Haftungsausschluß!$O$6,FALSE)</f>
        <v>[m]</v>
      </c>
      <c r="F301" s="318" t="str">
        <f>IF($L$14=1,Preisliste!$E$7,Preisliste!$F$7)</f>
        <v>H251000</v>
      </c>
      <c r="G301" s="988" t="str">
        <f>VLOOKUP("Dammbalken 25/200 exkl. Dichtung, gesägt und entgratet",Sprachindex!$A:$Z,Haftungsausschluß!$O$6,FALSE) &amp; " (" &amp; ROUNDUP(C301/1000*2.99,2) &amp; " " &amp; VLOOKUP("kg/Stk",Sprachindex!$A:$Z,Haftungsausschluß!$O$6,FALSE) &amp; ")" &amp; IF('Kalkulation 1'!$AH$33," " &amp; 'Kalkulation 1'!$R$9,"")</f>
        <v>Dammbalken 25/200 exkl. Dichtung, gesägt und entgratet (0 kg/Stk)</v>
      </c>
      <c r="H301" s="989"/>
      <c r="I301" s="989"/>
      <c r="J301" s="989"/>
      <c r="K301" s="989"/>
      <c r="L301" s="989"/>
      <c r="M301" s="990"/>
      <c r="N301" s="313"/>
      <c r="O301" s="426">
        <f t="shared" si="12"/>
        <v>0</v>
      </c>
      <c r="P301" s="286"/>
    </row>
    <row r="302" spans="2:16" ht="32.1" hidden="1" customHeight="1">
      <c r="B302" s="556"/>
      <c r="C302" s="312">
        <v>0</v>
      </c>
      <c r="D302" s="317">
        <f t="shared" si="11"/>
        <v>0</v>
      </c>
      <c r="E302" s="318" t="str">
        <f>VLOOKUP("[m]",Sprachindex!$A:$Z,Haftungsausschluß!$O$6,FALSE)</f>
        <v>[m]</v>
      </c>
      <c r="F302" s="318" t="str">
        <f>IF($L$14=1,Preisliste!$E$7,Preisliste!$F$7)</f>
        <v>H251000</v>
      </c>
      <c r="G302" s="988" t="str">
        <f>VLOOKUP("Dammbalken 25/200 exkl. Dichtung, gesägt und entgratet",Sprachindex!$A:$Z,Haftungsausschluß!$O$6,FALSE) &amp; " (" &amp; ROUNDUP(C302/1000*2.99,2) &amp; " " &amp; VLOOKUP("kg/Stk",Sprachindex!$A:$Z,Haftungsausschluß!$O$6,FALSE) &amp; ")" &amp; IF('Kalkulation 1'!$AH$33," " &amp; 'Kalkulation 1'!$R$9,"")</f>
        <v>Dammbalken 25/200 exkl. Dichtung, gesägt und entgratet (0 kg/Stk)</v>
      </c>
      <c r="H302" s="989"/>
      <c r="I302" s="989"/>
      <c r="J302" s="989"/>
      <c r="K302" s="989"/>
      <c r="L302" s="989"/>
      <c r="M302" s="990"/>
      <c r="N302" s="313"/>
      <c r="O302" s="426">
        <f t="shared" si="12"/>
        <v>0</v>
      </c>
      <c r="P302" s="286"/>
    </row>
    <row r="303" spans="2:16" ht="32.1" hidden="1" customHeight="1">
      <c r="B303" s="556"/>
      <c r="C303" s="312">
        <v>0</v>
      </c>
      <c r="D303" s="317">
        <f t="shared" si="11"/>
        <v>0</v>
      </c>
      <c r="E303" s="318" t="str">
        <f>VLOOKUP("[m]",Sprachindex!$A:$Z,Haftungsausschluß!$O$6,FALSE)</f>
        <v>[m]</v>
      </c>
      <c r="F303" s="318" t="str">
        <f>IF($L$14=1,Preisliste!$E$7,Preisliste!$F$7)</f>
        <v>H251000</v>
      </c>
      <c r="G303" s="988" t="str">
        <f>VLOOKUP("Dammbalken 25/200 exkl. Dichtung, gesägt und entgratet",Sprachindex!$A:$Z,Haftungsausschluß!$O$6,FALSE) &amp; " (" &amp; ROUNDUP(C303/1000*2.99,2) &amp; " " &amp; VLOOKUP("kg/Stk",Sprachindex!$A:$Z,Haftungsausschluß!$O$6,FALSE) &amp; ")" &amp; IF('Kalkulation 1'!$AH$33," " &amp; 'Kalkulation 1'!$R$9,"")</f>
        <v>Dammbalken 25/200 exkl. Dichtung, gesägt und entgratet (0 kg/Stk)</v>
      </c>
      <c r="H303" s="989"/>
      <c r="I303" s="989"/>
      <c r="J303" s="989"/>
      <c r="K303" s="989"/>
      <c r="L303" s="989"/>
      <c r="M303" s="990"/>
      <c r="N303" s="313"/>
      <c r="O303" s="426">
        <f t="shared" si="12"/>
        <v>0</v>
      </c>
      <c r="P303" s="286"/>
    </row>
    <row r="304" spans="2:16" ht="32.1" hidden="1" customHeight="1">
      <c r="B304" s="556"/>
      <c r="C304" s="312">
        <v>0</v>
      </c>
      <c r="D304" s="317">
        <f t="shared" si="11"/>
        <v>0</v>
      </c>
      <c r="E304" s="318" t="str">
        <f>VLOOKUP("[m]",Sprachindex!$A:$Z,Haftungsausschluß!$O$6,FALSE)</f>
        <v>[m]</v>
      </c>
      <c r="F304" s="318" t="str">
        <f>IF($L$14=1,Preisliste!$E$7,Preisliste!$F$7)</f>
        <v>H251000</v>
      </c>
      <c r="G304" s="988" t="str">
        <f>VLOOKUP("Dammbalken 25/200 exkl. Dichtung, gesägt und entgratet",Sprachindex!$A:$Z,Haftungsausschluß!$O$6,FALSE) &amp; " (" &amp; ROUNDUP(C304/1000*2.99,2) &amp; " " &amp; VLOOKUP("kg/Stk",Sprachindex!$A:$Z,Haftungsausschluß!$O$6,FALSE) &amp; ")" &amp; IF('Kalkulation 1'!$AH$33," " &amp; 'Kalkulation 1'!$R$9,"")</f>
        <v>Dammbalken 25/200 exkl. Dichtung, gesägt und entgratet (0 kg/Stk)</v>
      </c>
      <c r="H304" s="989"/>
      <c r="I304" s="989"/>
      <c r="J304" s="989"/>
      <c r="K304" s="989"/>
      <c r="L304" s="989"/>
      <c r="M304" s="990"/>
      <c r="N304" s="313"/>
      <c r="O304" s="426">
        <f t="shared" si="12"/>
        <v>0</v>
      </c>
      <c r="P304" s="286"/>
    </row>
    <row r="305" spans="2:16" ht="32.1" hidden="1" customHeight="1">
      <c r="B305" s="556"/>
      <c r="C305" s="312">
        <v>0</v>
      </c>
      <c r="D305" s="317">
        <f t="shared" si="11"/>
        <v>0</v>
      </c>
      <c r="E305" s="318" t="str">
        <f>VLOOKUP("[m]",Sprachindex!$A:$Z,Haftungsausschluß!$O$6,FALSE)</f>
        <v>[m]</v>
      </c>
      <c r="F305" s="318" t="str">
        <f>IF($L$14=1,Preisliste!$E$7,Preisliste!$F$7)</f>
        <v>H251000</v>
      </c>
      <c r="G305" s="988" t="str">
        <f>VLOOKUP("Dammbalken 25/200 exkl. Dichtung, gesägt und entgratet",Sprachindex!$A:$Z,Haftungsausschluß!$O$6,FALSE) &amp; " (" &amp; ROUNDUP(C305/1000*2.99,2) &amp; " " &amp; VLOOKUP("kg/Stk",Sprachindex!$A:$Z,Haftungsausschluß!$O$6,FALSE) &amp; ")" &amp; IF('Kalkulation 1'!$AH$33," " &amp; 'Kalkulation 1'!$R$9,"")</f>
        <v>Dammbalken 25/200 exkl. Dichtung, gesägt und entgratet (0 kg/Stk)</v>
      </c>
      <c r="H305" s="989"/>
      <c r="I305" s="989"/>
      <c r="J305" s="989"/>
      <c r="K305" s="989"/>
      <c r="L305" s="989"/>
      <c r="M305" s="990"/>
      <c r="N305" s="313"/>
      <c r="O305" s="426">
        <f t="shared" si="12"/>
        <v>0</v>
      </c>
      <c r="P305" s="286"/>
    </row>
    <row r="306" spans="2:16" ht="32.1" hidden="1" customHeight="1">
      <c r="B306" s="556"/>
      <c r="C306" s="312">
        <v>0</v>
      </c>
      <c r="D306" s="317">
        <f t="shared" si="11"/>
        <v>0</v>
      </c>
      <c r="E306" s="318" t="str">
        <f>VLOOKUP("[m]",Sprachindex!$A:$Z,Haftungsausschluß!$O$6,FALSE)</f>
        <v>[m]</v>
      </c>
      <c r="F306" s="318" t="str">
        <f>IF($L$14=1,Preisliste!$E$7,Preisliste!$F$7)</f>
        <v>H251000</v>
      </c>
      <c r="G306" s="988" t="str">
        <f>VLOOKUP("Dammbalken 25/200 exkl. Dichtung, gesägt und entgratet",Sprachindex!$A:$Z,Haftungsausschluß!$O$6,FALSE) &amp; " (" &amp; ROUNDUP(C306/1000*2.99,2) &amp; " " &amp; VLOOKUP("kg/Stk",Sprachindex!$A:$Z,Haftungsausschluß!$O$6,FALSE) &amp; ")" &amp; IF('Kalkulation 1'!$AH$33," " &amp; 'Kalkulation 1'!$R$9,"")</f>
        <v>Dammbalken 25/200 exkl. Dichtung, gesägt und entgratet (0 kg/Stk)</v>
      </c>
      <c r="H306" s="989"/>
      <c r="I306" s="989"/>
      <c r="J306" s="989"/>
      <c r="K306" s="989"/>
      <c r="L306" s="989"/>
      <c r="M306" s="990"/>
      <c r="N306" s="313"/>
      <c r="O306" s="426">
        <f t="shared" si="12"/>
        <v>0</v>
      </c>
      <c r="P306" s="286"/>
    </row>
    <row r="307" spans="2:16" ht="32.1" hidden="1" customHeight="1">
      <c r="B307" s="556"/>
      <c r="C307" s="312">
        <v>1086</v>
      </c>
      <c r="D307" s="317">
        <f t="shared" si="11"/>
        <v>0</v>
      </c>
      <c r="E307" s="318" t="str">
        <f>VLOOKUP("[m]",Sprachindex!$A:$Z,Haftungsausschluß!$O$6,FALSE)</f>
        <v>[m]</v>
      </c>
      <c r="F307" s="318" t="str">
        <f>IF($L$14=1,Preisliste!$E$10,Preisliste!$F$10)</f>
        <v>H501000</v>
      </c>
      <c r="G307" s="988" t="str">
        <f>VLOOKUP("Dammbalken 50/150 exkl. Dichtung, gesägt und entgratet",Sprachindex!$A:$Z,Haftungsausschluß!$O$6,FALSE) &amp; " (" &amp; ROUNDUP(C307/1000*5.62,2) &amp; " " &amp; VLOOKUP("kg/Stk",Sprachindex!$A:$Z,Haftungsausschluß!$O$6,FALSE) &amp; ")" &amp; IF('Kalkulation 1'!$AH$33," " &amp; 'Kalkulation 1'!$R$9,"")</f>
        <v>Dammbalken 50/150 exkl. Dichtung, gesägt und entgratet (6.11 kg/Stk)</v>
      </c>
      <c r="H307" s="989"/>
      <c r="I307" s="989"/>
      <c r="J307" s="989"/>
      <c r="K307" s="989"/>
      <c r="L307" s="989"/>
      <c r="M307" s="990"/>
      <c r="N307" s="313"/>
      <c r="O307" s="426">
        <f t="shared" si="12"/>
        <v>0</v>
      </c>
      <c r="P307" s="286"/>
    </row>
    <row r="308" spans="2:16" ht="32.1" hidden="1" customHeight="1">
      <c r="B308" s="556"/>
      <c r="C308" s="312">
        <v>0</v>
      </c>
      <c r="D308" s="317">
        <f t="shared" si="11"/>
        <v>0</v>
      </c>
      <c r="E308" s="318" t="str">
        <f>VLOOKUP("[m]",Sprachindex!$A:$Z,Haftungsausschluß!$O$6,FALSE)</f>
        <v>[m]</v>
      </c>
      <c r="F308" s="318" t="str">
        <f>IF($L$14=1,Preisliste!$E$10,Preisliste!$F$10)</f>
        <v>H501000</v>
      </c>
      <c r="G308" s="988" t="str">
        <f>VLOOKUP("Dammbalken 50/150 exkl. Dichtung, gesägt und entgratet",Sprachindex!$A:$Z,Haftungsausschluß!$O$6,FALSE) &amp; " (" &amp; ROUNDUP(C308/1000*5.62,2) &amp; " " &amp; VLOOKUP("kg/Stk",Sprachindex!$A:$Z,Haftungsausschluß!$O$6,FALSE) &amp; ")" &amp; IF('Kalkulation 1'!$AH$33," " &amp; 'Kalkulation 1'!$R$9,"")</f>
        <v>Dammbalken 50/150 exkl. Dichtung, gesägt und entgratet (0 kg/Stk)</v>
      </c>
      <c r="H308" s="989"/>
      <c r="I308" s="989"/>
      <c r="J308" s="989"/>
      <c r="K308" s="989"/>
      <c r="L308" s="989"/>
      <c r="M308" s="990"/>
      <c r="N308" s="313"/>
      <c r="O308" s="426">
        <f t="shared" si="12"/>
        <v>0</v>
      </c>
      <c r="P308" s="286"/>
    </row>
    <row r="309" spans="2:16" ht="32.1" hidden="1" customHeight="1">
      <c r="B309" s="556"/>
      <c r="C309" s="312">
        <v>0</v>
      </c>
      <c r="D309" s="317">
        <f t="shared" si="11"/>
        <v>0</v>
      </c>
      <c r="E309" s="318" t="str">
        <f>VLOOKUP("[m]",Sprachindex!$A:$Z,Haftungsausschluß!$O$6,FALSE)</f>
        <v>[m]</v>
      </c>
      <c r="F309" s="318" t="str">
        <f>IF($L$14=1,Preisliste!$E$10,Preisliste!$F$10)</f>
        <v>H501000</v>
      </c>
      <c r="G309" s="988" t="str">
        <f>VLOOKUP("Dammbalken 50/150 exkl. Dichtung, gesägt und entgratet",Sprachindex!$A:$Z,Haftungsausschluß!$O$6,FALSE) &amp; " (" &amp; ROUNDUP(C309/1000*5.62,2) &amp; " " &amp; VLOOKUP("kg/Stk",Sprachindex!$A:$Z,Haftungsausschluß!$O$6,FALSE) &amp; ")" &amp; IF('Kalkulation 1'!$AH$33," " &amp; 'Kalkulation 1'!$R$9,"")</f>
        <v>Dammbalken 50/150 exkl. Dichtung, gesägt und entgratet (0 kg/Stk)</v>
      </c>
      <c r="H309" s="989"/>
      <c r="I309" s="989"/>
      <c r="J309" s="989"/>
      <c r="K309" s="989"/>
      <c r="L309" s="989"/>
      <c r="M309" s="990"/>
      <c r="N309" s="313"/>
      <c r="O309" s="426">
        <f t="shared" si="12"/>
        <v>0</v>
      </c>
      <c r="P309" s="286"/>
    </row>
    <row r="310" spans="2:16" ht="32.1" hidden="1" customHeight="1">
      <c r="B310" s="556"/>
      <c r="C310" s="312">
        <v>0</v>
      </c>
      <c r="D310" s="317">
        <f t="shared" si="11"/>
        <v>0</v>
      </c>
      <c r="E310" s="318" t="str">
        <f>VLOOKUP("[m]",Sprachindex!$A:$Z,Haftungsausschluß!$O$6,FALSE)</f>
        <v>[m]</v>
      </c>
      <c r="F310" s="318" t="str">
        <f>IF($L$14=1,Preisliste!$E$10,Preisliste!$F$10)</f>
        <v>H501000</v>
      </c>
      <c r="G310" s="988" t="str">
        <f>VLOOKUP("Dammbalken 50/150 exkl. Dichtung, gesägt und entgratet",Sprachindex!$A:$Z,Haftungsausschluß!$O$6,FALSE) &amp; " (" &amp; ROUNDUP(C310/1000*5.62,2) &amp; " " &amp; VLOOKUP("kg/Stk",Sprachindex!$A:$Z,Haftungsausschluß!$O$6,FALSE) &amp; ")" &amp; IF('Kalkulation 1'!$AH$33," " &amp; 'Kalkulation 1'!$R$9,"")</f>
        <v>Dammbalken 50/150 exkl. Dichtung, gesägt und entgratet (0 kg/Stk)</v>
      </c>
      <c r="H310" s="989"/>
      <c r="I310" s="989"/>
      <c r="J310" s="989"/>
      <c r="K310" s="989"/>
      <c r="L310" s="989"/>
      <c r="M310" s="990"/>
      <c r="N310" s="313"/>
      <c r="O310" s="426">
        <f t="shared" si="12"/>
        <v>0</v>
      </c>
      <c r="P310" s="286"/>
    </row>
    <row r="311" spans="2:16" ht="32.1" hidden="1" customHeight="1">
      <c r="B311" s="556"/>
      <c r="C311" s="312">
        <v>0</v>
      </c>
      <c r="D311" s="317">
        <f t="shared" si="11"/>
        <v>0</v>
      </c>
      <c r="E311" s="318" t="str">
        <f>VLOOKUP("[m]",Sprachindex!$A:$Z,Haftungsausschluß!$O$6,FALSE)</f>
        <v>[m]</v>
      </c>
      <c r="F311" s="318" t="str">
        <f>IF($L$14=1,Preisliste!$E$10,Preisliste!$F$10)</f>
        <v>H501000</v>
      </c>
      <c r="G311" s="988" t="str">
        <f>VLOOKUP("Dammbalken 50/150 exkl. Dichtung, gesägt und entgratet",Sprachindex!$A:$Z,Haftungsausschluß!$O$6,FALSE) &amp; " (" &amp; ROUNDUP(C311/1000*5.62,2) &amp; " " &amp; VLOOKUP("kg/Stk",Sprachindex!$A:$Z,Haftungsausschluß!$O$6,FALSE) &amp; ")" &amp; IF('Kalkulation 1'!$AH$33," " &amp; 'Kalkulation 1'!$R$9,"")</f>
        <v>Dammbalken 50/150 exkl. Dichtung, gesägt und entgratet (0 kg/Stk)</v>
      </c>
      <c r="H311" s="989"/>
      <c r="I311" s="989"/>
      <c r="J311" s="989"/>
      <c r="K311" s="989"/>
      <c r="L311" s="989"/>
      <c r="M311" s="990"/>
      <c r="N311" s="313"/>
      <c r="O311" s="426">
        <f t="shared" si="12"/>
        <v>0</v>
      </c>
      <c r="P311" s="286"/>
    </row>
    <row r="312" spans="2:16" ht="32.1" hidden="1" customHeight="1">
      <c r="B312" s="556"/>
      <c r="C312" s="312">
        <v>0</v>
      </c>
      <c r="D312" s="317">
        <f t="shared" si="11"/>
        <v>0</v>
      </c>
      <c r="E312" s="318" t="str">
        <f>VLOOKUP("[m]",Sprachindex!$A:$Z,Haftungsausschluß!$O$6,FALSE)</f>
        <v>[m]</v>
      </c>
      <c r="F312" s="318" t="str">
        <f>IF($L$14=1,Preisliste!$E$10,Preisliste!$F$10)</f>
        <v>H501000</v>
      </c>
      <c r="G312" s="988" t="str">
        <f>VLOOKUP("Dammbalken 50/150 exkl. Dichtung, gesägt und entgratet",Sprachindex!$A:$Z,Haftungsausschluß!$O$6,FALSE) &amp; " (" &amp; ROUNDUP(C312/1000*5.62,2) &amp; " " &amp; VLOOKUP("kg/Stk",Sprachindex!$A:$Z,Haftungsausschluß!$O$6,FALSE) &amp; ")" &amp; IF('Kalkulation 1'!$AH$33," " &amp; 'Kalkulation 1'!$R$9,"")</f>
        <v>Dammbalken 50/150 exkl. Dichtung, gesägt und entgratet (0 kg/Stk)</v>
      </c>
      <c r="H312" s="989"/>
      <c r="I312" s="989"/>
      <c r="J312" s="989"/>
      <c r="K312" s="989"/>
      <c r="L312" s="989"/>
      <c r="M312" s="990"/>
      <c r="N312" s="313"/>
      <c r="O312" s="426">
        <f t="shared" si="12"/>
        <v>0</v>
      </c>
      <c r="P312" s="286"/>
    </row>
    <row r="313" spans="2:16" ht="32.1" hidden="1" customHeight="1">
      <c r="B313" s="556"/>
      <c r="C313" s="312">
        <v>0</v>
      </c>
      <c r="D313" s="317">
        <f t="shared" si="11"/>
        <v>0</v>
      </c>
      <c r="E313" s="318" t="str">
        <f>VLOOKUP("[m]",Sprachindex!$A:$Z,Haftungsausschluß!$O$6,FALSE)</f>
        <v>[m]</v>
      </c>
      <c r="F313" s="318" t="str">
        <f>IF($L$14=1,Preisliste!$E$10,Preisliste!$F$10)</f>
        <v>H501000</v>
      </c>
      <c r="G313" s="988" t="str">
        <f>VLOOKUP("Dammbalken 50/150 exkl. Dichtung, gesägt und entgratet",Sprachindex!$A:$Z,Haftungsausschluß!$O$6,FALSE) &amp; " (" &amp; ROUNDUP(C313/1000*5.62,2) &amp; " " &amp; VLOOKUP("kg/Stk",Sprachindex!$A:$Z,Haftungsausschluß!$O$6,FALSE) &amp; ")" &amp; IF('Kalkulation 1'!$AH$33," " &amp; 'Kalkulation 1'!$R$9,"")</f>
        <v>Dammbalken 50/150 exkl. Dichtung, gesägt und entgratet (0 kg/Stk)</v>
      </c>
      <c r="H313" s="989"/>
      <c r="I313" s="989"/>
      <c r="J313" s="989"/>
      <c r="K313" s="989"/>
      <c r="L313" s="989"/>
      <c r="M313" s="990"/>
      <c r="N313" s="313"/>
      <c r="O313" s="426">
        <f t="shared" si="12"/>
        <v>0</v>
      </c>
      <c r="P313" s="286"/>
    </row>
    <row r="314" spans="2:16" ht="32.1" hidden="1" customHeight="1">
      <c r="B314" s="556"/>
      <c r="C314" s="312">
        <v>0</v>
      </c>
      <c r="D314" s="317">
        <f t="shared" si="11"/>
        <v>0</v>
      </c>
      <c r="E314" s="318" t="str">
        <f>VLOOKUP("[m]",Sprachindex!$A:$Z,Haftungsausschluß!$O$6,FALSE)</f>
        <v>[m]</v>
      </c>
      <c r="F314" s="318" t="str">
        <f>IF($L$14=1,Preisliste!$E$10,Preisliste!$F$10)</f>
        <v>H501000</v>
      </c>
      <c r="G314" s="988" t="str">
        <f>VLOOKUP("Dammbalken 50/150 exkl. Dichtung, gesägt und entgratet",Sprachindex!$A:$Z,Haftungsausschluß!$O$6,FALSE) &amp; " (" &amp; ROUNDUP(C314/1000*5.62,2) &amp; " " &amp; VLOOKUP("kg/Stk",Sprachindex!$A:$Z,Haftungsausschluß!$O$6,FALSE) &amp; ")" &amp; IF('Kalkulation 1'!$AH$33," " &amp; 'Kalkulation 1'!$R$9,"")</f>
        <v>Dammbalken 50/150 exkl. Dichtung, gesägt und entgratet (0 kg/Stk)</v>
      </c>
      <c r="H314" s="989"/>
      <c r="I314" s="989"/>
      <c r="J314" s="989"/>
      <c r="K314" s="989"/>
      <c r="L314" s="989"/>
      <c r="M314" s="990"/>
      <c r="N314" s="313"/>
      <c r="O314" s="426">
        <f t="shared" si="12"/>
        <v>0</v>
      </c>
      <c r="P314" s="286"/>
    </row>
    <row r="315" spans="2:16" ht="32.1" hidden="1" customHeight="1">
      <c r="B315" s="556"/>
      <c r="C315" s="312">
        <v>0</v>
      </c>
      <c r="D315" s="317">
        <f t="shared" si="11"/>
        <v>0</v>
      </c>
      <c r="E315" s="318" t="str">
        <f>VLOOKUP("[m]",Sprachindex!$A:$Z,Haftungsausschluß!$O$6,FALSE)</f>
        <v>[m]</v>
      </c>
      <c r="F315" s="318" t="str">
        <f>IF($L$14=1,Preisliste!$E$10,Preisliste!$F$10)</f>
        <v>H501000</v>
      </c>
      <c r="G315" s="988" t="str">
        <f>VLOOKUP("Dammbalken 50/150 exkl. Dichtung, gesägt und entgratet",Sprachindex!$A:$Z,Haftungsausschluß!$O$6,FALSE) &amp; " (" &amp; ROUNDUP(C315/1000*5.62,2) &amp; " " &amp; VLOOKUP("kg/Stk",Sprachindex!$A:$Z,Haftungsausschluß!$O$6,FALSE) &amp; ")" &amp; IF('Kalkulation 1'!$AH$33," " &amp; 'Kalkulation 1'!$R$9,"")</f>
        <v>Dammbalken 50/150 exkl. Dichtung, gesägt und entgratet (0 kg/Stk)</v>
      </c>
      <c r="H315" s="989"/>
      <c r="I315" s="989"/>
      <c r="J315" s="989"/>
      <c r="K315" s="989"/>
      <c r="L315" s="989"/>
      <c r="M315" s="990"/>
      <c r="N315" s="313"/>
      <c r="O315" s="426">
        <f t="shared" si="12"/>
        <v>0</v>
      </c>
      <c r="P315" s="286"/>
    </row>
    <row r="316" spans="2:16" ht="32.1" hidden="1" customHeight="1">
      <c r="B316" s="556"/>
      <c r="C316" s="312">
        <v>0</v>
      </c>
      <c r="D316" s="317">
        <f t="shared" si="11"/>
        <v>0</v>
      </c>
      <c r="E316" s="318" t="str">
        <f>VLOOKUP("[m]",Sprachindex!$A:$Z,Haftungsausschluß!$O$6,FALSE)</f>
        <v>[m]</v>
      </c>
      <c r="F316" s="318" t="str">
        <f>IF($L$14=1,Preisliste!$E$10,Preisliste!$F$10)</f>
        <v>H501000</v>
      </c>
      <c r="G316" s="988" t="str">
        <f>VLOOKUP("Dammbalken 50/150 exkl. Dichtung, gesägt und entgratet",Sprachindex!$A:$Z,Haftungsausschluß!$O$6,FALSE) &amp; " (" &amp; ROUNDUP(C316/1000*5.62,2) &amp; " " &amp; VLOOKUP("kg/Stk",Sprachindex!$A:$Z,Haftungsausschluß!$O$6,FALSE) &amp; ")" &amp; IF('Kalkulation 1'!$AH$33," " &amp; 'Kalkulation 1'!$R$9,"")</f>
        <v>Dammbalken 50/150 exkl. Dichtung, gesägt und entgratet (0 kg/Stk)</v>
      </c>
      <c r="H316" s="989"/>
      <c r="I316" s="989"/>
      <c r="J316" s="989"/>
      <c r="K316" s="989"/>
      <c r="L316" s="989"/>
      <c r="M316" s="990"/>
      <c r="N316" s="313"/>
      <c r="O316" s="426">
        <f t="shared" si="12"/>
        <v>0</v>
      </c>
      <c r="P316" s="286"/>
    </row>
    <row r="317" spans="2:16" ht="32.1" hidden="1" customHeight="1">
      <c r="B317" s="556"/>
      <c r="C317" s="312">
        <v>0</v>
      </c>
      <c r="D317" s="317">
        <f t="shared" si="11"/>
        <v>0</v>
      </c>
      <c r="E317" s="318" t="str">
        <f>VLOOKUP("[m]",Sprachindex!$A:$Z,Haftungsausschluß!$O$6,FALSE)</f>
        <v>[m]</v>
      </c>
      <c r="F317" s="318" t="str">
        <f>IF($L$14=1,Preisliste!$E$10,Preisliste!$F$10)</f>
        <v>H501000</v>
      </c>
      <c r="G317" s="988" t="str">
        <f>VLOOKUP("Dammbalken 50/150 exkl. Dichtung, gesägt und entgratet",Sprachindex!$A:$Z,Haftungsausschluß!$O$6,FALSE) &amp; " (" &amp; ROUNDUP(C317/1000*5.62,2) &amp; " " &amp; VLOOKUP("kg/Stk",Sprachindex!$A:$Z,Haftungsausschluß!$O$6,FALSE) &amp; ")" &amp; IF('Kalkulation 1'!$AH$33," " &amp; 'Kalkulation 1'!$R$9,"")</f>
        <v>Dammbalken 50/150 exkl. Dichtung, gesägt und entgratet (0 kg/Stk)</v>
      </c>
      <c r="H317" s="989"/>
      <c r="I317" s="989"/>
      <c r="J317" s="989"/>
      <c r="K317" s="989"/>
      <c r="L317" s="989"/>
      <c r="M317" s="990"/>
      <c r="N317" s="313"/>
      <c r="O317" s="426">
        <f t="shared" si="12"/>
        <v>0</v>
      </c>
      <c r="P317" s="286"/>
    </row>
    <row r="318" spans="2:16" ht="32.1" hidden="1" customHeight="1">
      <c r="B318" s="556"/>
      <c r="C318" s="312">
        <v>0</v>
      </c>
      <c r="D318" s="317">
        <f t="shared" si="11"/>
        <v>0</v>
      </c>
      <c r="E318" s="318" t="str">
        <f>VLOOKUP("[m]",Sprachindex!$A:$Z,Haftungsausschluß!$O$6,FALSE)</f>
        <v>[m]</v>
      </c>
      <c r="F318" s="318" t="str">
        <f>IF($L$14=1,Preisliste!$E$10,Preisliste!$F$10)</f>
        <v>H501000</v>
      </c>
      <c r="G318" s="988" t="str">
        <f>VLOOKUP("Dammbalken 50/150 exkl. Dichtung, gesägt und entgratet",Sprachindex!$A:$Z,Haftungsausschluß!$O$6,FALSE) &amp; " (" &amp; ROUNDUP(C318/1000*5.62,2) &amp; " " &amp; VLOOKUP("kg/Stk",Sprachindex!$A:$Z,Haftungsausschluß!$O$6,FALSE) &amp; ")" &amp; IF('Kalkulation 1'!$AH$33," " &amp; 'Kalkulation 1'!$R$9,"")</f>
        <v>Dammbalken 50/150 exkl. Dichtung, gesägt und entgratet (0 kg/Stk)</v>
      </c>
      <c r="H318" s="989"/>
      <c r="I318" s="989"/>
      <c r="J318" s="989"/>
      <c r="K318" s="989"/>
      <c r="L318" s="989"/>
      <c r="M318" s="990"/>
      <c r="N318" s="313"/>
      <c r="O318" s="426">
        <f t="shared" si="12"/>
        <v>0</v>
      </c>
      <c r="P318" s="286"/>
    </row>
    <row r="319" spans="2:16" ht="32.1" hidden="1" customHeight="1">
      <c r="B319" s="556"/>
      <c r="C319" s="312">
        <v>0</v>
      </c>
      <c r="D319" s="317">
        <f t="shared" si="11"/>
        <v>0</v>
      </c>
      <c r="E319" s="318" t="str">
        <f>VLOOKUP("[m]",Sprachindex!$A:$Z,Haftungsausschluß!$O$6,FALSE)</f>
        <v>[m]</v>
      </c>
      <c r="F319" s="318" t="str">
        <f>IF($L$14=1,Preisliste!$E$10,Preisliste!$F$10)</f>
        <v>H501000</v>
      </c>
      <c r="G319" s="988" t="str">
        <f>VLOOKUP("Dammbalken 50/150 exkl. Dichtung, gesägt und entgratet",Sprachindex!$A:$Z,Haftungsausschluß!$O$6,FALSE) &amp; " (" &amp; ROUNDUP(C319/1000*5.62,2) &amp; " " &amp; VLOOKUP("kg/Stk",Sprachindex!$A:$Z,Haftungsausschluß!$O$6,FALSE) &amp; ")" &amp; IF('Kalkulation 1'!$AH$33," " &amp; 'Kalkulation 1'!$R$9,"")</f>
        <v>Dammbalken 50/150 exkl. Dichtung, gesägt und entgratet (0 kg/Stk)</v>
      </c>
      <c r="H319" s="989"/>
      <c r="I319" s="989"/>
      <c r="J319" s="989"/>
      <c r="K319" s="989"/>
      <c r="L319" s="989"/>
      <c r="M319" s="990"/>
      <c r="N319" s="313"/>
      <c r="O319" s="426">
        <f t="shared" si="12"/>
        <v>0</v>
      </c>
      <c r="P319" s="286"/>
    </row>
    <row r="320" spans="2:16" ht="32.1" hidden="1" customHeight="1">
      <c r="B320" s="556"/>
      <c r="C320" s="312">
        <v>0</v>
      </c>
      <c r="D320" s="317">
        <f t="shared" si="11"/>
        <v>0</v>
      </c>
      <c r="E320" s="318" t="str">
        <f>VLOOKUP("[m]",Sprachindex!$A:$Z,Haftungsausschluß!$O$6,FALSE)</f>
        <v>[m]</v>
      </c>
      <c r="F320" s="318" t="str">
        <f>IF($L$14=1,Preisliste!$E$10,Preisliste!$F$10)</f>
        <v>H501000</v>
      </c>
      <c r="G320" s="988" t="str">
        <f>VLOOKUP("Dammbalken 50/150 exkl. Dichtung, gesägt und entgratet",Sprachindex!$A:$Z,Haftungsausschluß!$O$6,FALSE) &amp; " (" &amp; ROUNDUP(C320/1000*5.62,2) &amp; " " &amp; VLOOKUP("kg/Stk",Sprachindex!$A:$Z,Haftungsausschluß!$O$6,FALSE) &amp; ")" &amp; IF('Kalkulation 1'!$AH$33," " &amp; 'Kalkulation 1'!$R$9,"")</f>
        <v>Dammbalken 50/150 exkl. Dichtung, gesägt und entgratet (0 kg/Stk)</v>
      </c>
      <c r="H320" s="989"/>
      <c r="I320" s="989"/>
      <c r="J320" s="989"/>
      <c r="K320" s="989"/>
      <c r="L320" s="989"/>
      <c r="M320" s="990"/>
      <c r="N320" s="313"/>
      <c r="O320" s="426">
        <f t="shared" si="12"/>
        <v>0</v>
      </c>
      <c r="P320" s="286"/>
    </row>
    <row r="321" spans="2:16" ht="32.1" hidden="1" customHeight="1">
      <c r="B321" s="556"/>
      <c r="C321" s="312">
        <v>0</v>
      </c>
      <c r="D321" s="317">
        <f t="shared" si="11"/>
        <v>0</v>
      </c>
      <c r="E321" s="318" t="str">
        <f>VLOOKUP("[m]",Sprachindex!$A:$Z,Haftungsausschluß!$O$6,FALSE)</f>
        <v>[m]</v>
      </c>
      <c r="F321" s="318" t="str">
        <f>IF($L$14=1,Preisliste!$E$10,Preisliste!$F$10)</f>
        <v>H501000</v>
      </c>
      <c r="G321" s="988" t="str">
        <f>VLOOKUP("Dammbalken 50/150 exkl. Dichtung, gesägt und entgratet",Sprachindex!$A:$Z,Haftungsausschluß!$O$6,FALSE) &amp; " (" &amp; ROUNDUP(C321/1000*5.62,2) &amp; " " &amp; VLOOKUP("kg/Stk",Sprachindex!$A:$Z,Haftungsausschluß!$O$6,FALSE) &amp; ")" &amp; IF('Kalkulation 1'!$AH$33," " &amp; 'Kalkulation 1'!$R$9,"")</f>
        <v>Dammbalken 50/150 exkl. Dichtung, gesägt und entgratet (0 kg/Stk)</v>
      </c>
      <c r="H321" s="989"/>
      <c r="I321" s="989"/>
      <c r="J321" s="989"/>
      <c r="K321" s="989"/>
      <c r="L321" s="989"/>
      <c r="M321" s="990"/>
      <c r="N321" s="313"/>
      <c r="O321" s="426">
        <f t="shared" si="12"/>
        <v>0</v>
      </c>
      <c r="P321" s="286"/>
    </row>
    <row r="322" spans="2:16" ht="32.1" hidden="1" customHeight="1">
      <c r="B322" s="556"/>
      <c r="C322" s="312">
        <v>0</v>
      </c>
      <c r="D322" s="317">
        <f t="shared" si="11"/>
        <v>0</v>
      </c>
      <c r="E322" s="318" t="str">
        <f>VLOOKUP("[m]",Sprachindex!$A:$Z,Haftungsausschluß!$O$6,FALSE)</f>
        <v>[m]</v>
      </c>
      <c r="F322" s="318" t="str">
        <f>IF($L$14=1,Preisliste!$E$10,Preisliste!$F$10)</f>
        <v>H501000</v>
      </c>
      <c r="G322" s="988" t="str">
        <f>VLOOKUP("Dammbalken 50/150 exkl. Dichtung, gesägt und entgratet",Sprachindex!$A:$Z,Haftungsausschluß!$O$6,FALSE) &amp; " (" &amp; ROUNDUP(C322/1000*5.62,2) &amp; " " &amp; VLOOKUP("kg/Stk",Sprachindex!$A:$Z,Haftungsausschluß!$O$6,FALSE) &amp; ")" &amp; IF('Kalkulation 1'!$AH$33," " &amp; 'Kalkulation 1'!$R$9,"")</f>
        <v>Dammbalken 50/150 exkl. Dichtung, gesägt und entgratet (0 kg/Stk)</v>
      </c>
      <c r="H322" s="989"/>
      <c r="I322" s="989"/>
      <c r="J322" s="989"/>
      <c r="K322" s="989"/>
      <c r="L322" s="989"/>
      <c r="M322" s="990"/>
      <c r="N322" s="313"/>
      <c r="O322" s="426">
        <f t="shared" si="12"/>
        <v>0</v>
      </c>
      <c r="P322" s="286"/>
    </row>
    <row r="323" spans="2:16" ht="32.1" hidden="1" customHeight="1">
      <c r="B323" s="556"/>
      <c r="C323" s="312">
        <v>0</v>
      </c>
      <c r="D323" s="317">
        <f t="shared" si="11"/>
        <v>0</v>
      </c>
      <c r="E323" s="318" t="str">
        <f>VLOOKUP("[m]",Sprachindex!$A:$Z,Haftungsausschluß!$O$6,FALSE)</f>
        <v>[m]</v>
      </c>
      <c r="F323" s="318" t="str">
        <f>IF($L$14=1,Preisliste!$E$10,Preisliste!$F$10)</f>
        <v>H501000</v>
      </c>
      <c r="G323" s="988" t="str">
        <f>VLOOKUP("Dammbalken 50/150 exkl. Dichtung, gesägt und entgratet",Sprachindex!$A:$Z,Haftungsausschluß!$O$6,FALSE) &amp; " (" &amp; ROUNDUP(C323/1000*5.62,2) &amp; " " &amp; VLOOKUP("kg/Stk",Sprachindex!$A:$Z,Haftungsausschluß!$O$6,FALSE) &amp; ")" &amp; IF('Kalkulation 1'!$AH$33," " &amp; 'Kalkulation 1'!$R$9,"")</f>
        <v>Dammbalken 50/150 exkl. Dichtung, gesägt und entgratet (0 kg/Stk)</v>
      </c>
      <c r="H323" s="989"/>
      <c r="I323" s="989"/>
      <c r="J323" s="989"/>
      <c r="K323" s="989"/>
      <c r="L323" s="989"/>
      <c r="M323" s="990"/>
      <c r="N323" s="313"/>
      <c r="O323" s="426">
        <f t="shared" si="12"/>
        <v>0</v>
      </c>
      <c r="P323" s="286"/>
    </row>
    <row r="324" spans="2:16" ht="32.1" hidden="1" customHeight="1">
      <c r="B324" s="556"/>
      <c r="C324" s="312">
        <v>0</v>
      </c>
      <c r="D324" s="317">
        <f t="shared" si="11"/>
        <v>0</v>
      </c>
      <c r="E324" s="318" t="str">
        <f>VLOOKUP("[m]",Sprachindex!$A:$Z,Haftungsausschluß!$O$6,FALSE)</f>
        <v>[m]</v>
      </c>
      <c r="F324" s="318" t="str">
        <f>IF($L$14=1,Preisliste!$E$10,Preisliste!$F$10)</f>
        <v>H501000</v>
      </c>
      <c r="G324" s="988" t="str">
        <f>VLOOKUP("Dammbalken 50/150 exkl. Dichtung, gesägt und entgratet",Sprachindex!$A:$Z,Haftungsausschluß!$O$6,FALSE) &amp; " (" &amp; ROUNDUP(C324/1000*5.62,2) &amp; " " &amp; VLOOKUP("kg/Stk",Sprachindex!$A:$Z,Haftungsausschluß!$O$6,FALSE) &amp; ")" &amp; IF('Kalkulation 1'!$AH$33," " &amp; 'Kalkulation 1'!$R$9,"")</f>
        <v>Dammbalken 50/150 exkl. Dichtung, gesägt und entgratet (0 kg/Stk)</v>
      </c>
      <c r="H324" s="989"/>
      <c r="I324" s="989"/>
      <c r="J324" s="989"/>
      <c r="K324" s="989"/>
      <c r="L324" s="989"/>
      <c r="M324" s="990"/>
      <c r="N324" s="313"/>
      <c r="O324" s="426">
        <f t="shared" si="12"/>
        <v>0</v>
      </c>
      <c r="P324" s="286"/>
    </row>
    <row r="325" spans="2:16" ht="32.1" hidden="1" customHeight="1">
      <c r="B325" s="556"/>
      <c r="C325" s="312">
        <v>0</v>
      </c>
      <c r="D325" s="317">
        <f t="shared" si="11"/>
        <v>0</v>
      </c>
      <c r="E325" s="318" t="str">
        <f>VLOOKUP("[m]",Sprachindex!$A:$Z,Haftungsausschluß!$O$6,FALSE)</f>
        <v>[m]</v>
      </c>
      <c r="F325" s="318" t="str">
        <f>IF($L$14=1,Preisliste!$E$10,Preisliste!$F$10)</f>
        <v>H501000</v>
      </c>
      <c r="G325" s="988" t="str">
        <f>VLOOKUP("Dammbalken 50/150 exkl. Dichtung, gesägt und entgratet",Sprachindex!$A:$Z,Haftungsausschluß!$O$6,FALSE) &amp; " (" &amp; ROUNDUP(C325/1000*5.62,2) &amp; " " &amp; VLOOKUP("kg/Stk",Sprachindex!$A:$Z,Haftungsausschluß!$O$6,FALSE) &amp; ")" &amp; IF('Kalkulation 1'!$AH$33," " &amp; 'Kalkulation 1'!$R$9,"")</f>
        <v>Dammbalken 50/150 exkl. Dichtung, gesägt und entgratet (0 kg/Stk)</v>
      </c>
      <c r="H325" s="989"/>
      <c r="I325" s="989"/>
      <c r="J325" s="989"/>
      <c r="K325" s="989"/>
      <c r="L325" s="989"/>
      <c r="M325" s="990"/>
      <c r="N325" s="313"/>
      <c r="O325" s="426">
        <f t="shared" si="12"/>
        <v>0</v>
      </c>
      <c r="P325" s="286"/>
    </row>
    <row r="326" spans="2:16" ht="32.1" hidden="1" customHeight="1">
      <c r="B326" s="556"/>
      <c r="C326" s="312">
        <v>0</v>
      </c>
      <c r="D326" s="317">
        <f t="shared" si="11"/>
        <v>0</v>
      </c>
      <c r="E326" s="318" t="str">
        <f>VLOOKUP("[m]",Sprachindex!$A:$Z,Haftungsausschluß!$O$6,FALSE)</f>
        <v>[m]</v>
      </c>
      <c r="F326" s="318" t="str">
        <f>IF($L$14=1,Preisliste!$E$10,Preisliste!$F$10)</f>
        <v>H501000</v>
      </c>
      <c r="G326" s="988" t="str">
        <f>VLOOKUP("Dammbalken 50/150 exkl. Dichtung, gesägt und entgratet",Sprachindex!$A:$Z,Haftungsausschluß!$O$6,FALSE) &amp; " (" &amp; ROUNDUP(C326/1000*5.62,2) &amp; " " &amp; VLOOKUP("kg/Stk",Sprachindex!$A:$Z,Haftungsausschluß!$O$6,FALSE) &amp; ")" &amp; IF('Kalkulation 1'!$AH$33," " &amp; 'Kalkulation 1'!$R$9,"")</f>
        <v>Dammbalken 50/150 exkl. Dichtung, gesägt und entgratet (0 kg/Stk)</v>
      </c>
      <c r="H326" s="989"/>
      <c r="I326" s="989"/>
      <c r="J326" s="989"/>
      <c r="K326" s="989"/>
      <c r="L326" s="989"/>
      <c r="M326" s="990"/>
      <c r="N326" s="313"/>
      <c r="O326" s="426">
        <f t="shared" si="12"/>
        <v>0</v>
      </c>
      <c r="P326" s="286"/>
    </row>
    <row r="327" spans="2:16" ht="32.1" hidden="1" customHeight="1">
      <c r="B327" s="556"/>
      <c r="C327" s="312">
        <v>0</v>
      </c>
      <c r="D327" s="317">
        <f t="shared" si="11"/>
        <v>0</v>
      </c>
      <c r="E327" s="318" t="str">
        <f>VLOOKUP("[m]",Sprachindex!$A:$Z,Haftungsausschluß!$O$6,FALSE)</f>
        <v>[m]</v>
      </c>
      <c r="F327" s="318" t="str">
        <f>IF($L$14=1,Preisliste!$E$10,Preisliste!$F$10)</f>
        <v>H501000</v>
      </c>
      <c r="G327" s="988" t="str">
        <f>VLOOKUP("Dammbalken 50/150 exkl. Dichtung, gesägt und entgratet",Sprachindex!$A:$Z,Haftungsausschluß!$O$6,FALSE) &amp; " (" &amp; ROUNDUP(C327/1000*5.62,2) &amp; " " &amp; VLOOKUP("kg/Stk",Sprachindex!$A:$Z,Haftungsausschluß!$O$6,FALSE) &amp; ")" &amp; IF('Kalkulation 1'!$AH$33," " &amp; 'Kalkulation 1'!$R$9,"")</f>
        <v>Dammbalken 50/150 exkl. Dichtung, gesägt und entgratet (0 kg/Stk)</v>
      </c>
      <c r="H327" s="989"/>
      <c r="I327" s="989"/>
      <c r="J327" s="989"/>
      <c r="K327" s="989"/>
      <c r="L327" s="989"/>
      <c r="M327" s="990"/>
      <c r="N327" s="313"/>
      <c r="O327" s="426">
        <f t="shared" si="12"/>
        <v>0</v>
      </c>
      <c r="P327" s="286"/>
    </row>
    <row r="328" spans="2:16" ht="32.1" hidden="1" customHeight="1">
      <c r="B328" s="556"/>
      <c r="C328" s="312">
        <v>0</v>
      </c>
      <c r="D328" s="317">
        <f t="shared" si="11"/>
        <v>0</v>
      </c>
      <c r="E328" s="318" t="str">
        <f>VLOOKUP("[m]",Sprachindex!$A:$Z,Haftungsausschluß!$O$6,FALSE)</f>
        <v>[m]</v>
      </c>
      <c r="F328" s="318" t="str">
        <f>IF($L$14=1,Preisliste!$E$10,Preisliste!$F$10)</f>
        <v>H501000</v>
      </c>
      <c r="G328" s="988" t="str">
        <f>VLOOKUP("Dammbalken 50/150 exkl. Dichtung, gesägt und entgratet",Sprachindex!$A:$Z,Haftungsausschluß!$O$6,FALSE) &amp; " (" &amp; ROUNDUP(C328/1000*5.62,2) &amp; " " &amp; VLOOKUP("kg/Stk",Sprachindex!$A:$Z,Haftungsausschluß!$O$6,FALSE) &amp; ")" &amp; IF('Kalkulation 1'!$AH$33," " &amp; 'Kalkulation 1'!$R$9,"")</f>
        <v>Dammbalken 50/150 exkl. Dichtung, gesägt und entgratet (0 kg/Stk)</v>
      </c>
      <c r="H328" s="989"/>
      <c r="I328" s="989"/>
      <c r="J328" s="989"/>
      <c r="K328" s="989"/>
      <c r="L328" s="989"/>
      <c r="M328" s="990"/>
      <c r="N328" s="313"/>
      <c r="O328" s="426">
        <f t="shared" si="12"/>
        <v>0</v>
      </c>
      <c r="P328" s="286"/>
    </row>
    <row r="329" spans="2:16" ht="32.1" hidden="1" customHeight="1">
      <c r="B329" s="556"/>
      <c r="C329" s="312">
        <v>0</v>
      </c>
      <c r="D329" s="317">
        <f t="shared" si="11"/>
        <v>0</v>
      </c>
      <c r="E329" s="318" t="str">
        <f>VLOOKUP("[m]",Sprachindex!$A:$Z,Haftungsausschluß!$O$6,FALSE)</f>
        <v>[m]</v>
      </c>
      <c r="F329" s="318" t="str">
        <f>IF($L$14=1,Preisliste!$E$10,Preisliste!$F$10)</f>
        <v>H501000</v>
      </c>
      <c r="G329" s="988" t="str">
        <f>VLOOKUP("Dammbalken 50/150 exkl. Dichtung, gesägt und entgratet",Sprachindex!$A:$Z,Haftungsausschluß!$O$6,FALSE) &amp; " (" &amp; ROUNDUP(C329/1000*5.62,2) &amp; " " &amp; VLOOKUP("kg/Stk",Sprachindex!$A:$Z,Haftungsausschluß!$O$6,FALSE) &amp; ")" &amp; IF('Kalkulation 1'!$AH$33," " &amp; 'Kalkulation 1'!$R$9,"")</f>
        <v>Dammbalken 50/150 exkl. Dichtung, gesägt und entgratet (0 kg/Stk)</v>
      </c>
      <c r="H329" s="989"/>
      <c r="I329" s="989"/>
      <c r="J329" s="989"/>
      <c r="K329" s="989"/>
      <c r="L329" s="989"/>
      <c r="M329" s="990"/>
      <c r="N329" s="313"/>
      <c r="O329" s="426">
        <f t="shared" si="12"/>
        <v>0</v>
      </c>
      <c r="P329" s="286"/>
    </row>
    <row r="330" spans="2:16" ht="32.1" hidden="1" customHeight="1">
      <c r="B330" s="556"/>
      <c r="C330" s="312">
        <v>0</v>
      </c>
      <c r="D330" s="317">
        <f t="shared" si="11"/>
        <v>0</v>
      </c>
      <c r="E330" s="318" t="str">
        <f>VLOOKUP("[m]",Sprachindex!$A:$Z,Haftungsausschluß!$O$6,FALSE)</f>
        <v>[m]</v>
      </c>
      <c r="F330" s="318" t="str">
        <f>IF($L$14=1,Preisliste!$E$10,Preisliste!$F$10)</f>
        <v>H501000</v>
      </c>
      <c r="G330" s="988" t="str">
        <f>VLOOKUP("Dammbalken 50/150 exkl. Dichtung, gesägt und entgratet",Sprachindex!$A:$Z,Haftungsausschluß!$O$6,FALSE) &amp; " (" &amp; ROUNDUP(C330/1000*5.62,2) &amp; " " &amp; VLOOKUP("kg/Stk",Sprachindex!$A:$Z,Haftungsausschluß!$O$6,FALSE) &amp; ")" &amp; IF('Kalkulation 1'!$AH$33," " &amp; 'Kalkulation 1'!$R$9,"")</f>
        <v>Dammbalken 50/150 exkl. Dichtung, gesägt und entgratet (0 kg/Stk)</v>
      </c>
      <c r="H330" s="989"/>
      <c r="I330" s="989"/>
      <c r="J330" s="989"/>
      <c r="K330" s="989"/>
      <c r="L330" s="989"/>
      <c r="M330" s="990"/>
      <c r="N330" s="313"/>
      <c r="O330" s="426">
        <f t="shared" si="12"/>
        <v>0</v>
      </c>
      <c r="P330" s="286"/>
    </row>
    <row r="331" spans="2:16" ht="32.1" hidden="1" customHeight="1">
      <c r="B331" s="556"/>
      <c r="C331" s="312">
        <v>0</v>
      </c>
      <c r="D331" s="317">
        <f t="shared" si="11"/>
        <v>0</v>
      </c>
      <c r="E331" s="318" t="str">
        <f>VLOOKUP("[m]",Sprachindex!$A:$Z,Haftungsausschluß!$O$6,FALSE)</f>
        <v>[m]</v>
      </c>
      <c r="F331" s="318" t="str">
        <f>IF($L$14=1,Preisliste!$E$10,Preisliste!$F$10)</f>
        <v>H501000</v>
      </c>
      <c r="G331" s="988" t="str">
        <f>VLOOKUP("Dammbalken 50/150 exkl. Dichtung, gesägt und entgratet",Sprachindex!$A:$Z,Haftungsausschluß!$O$6,FALSE) &amp; " (" &amp; ROUNDUP(C331/1000*5.62,2) &amp; " " &amp; VLOOKUP("kg/Stk",Sprachindex!$A:$Z,Haftungsausschluß!$O$6,FALSE) &amp; ")" &amp; IF('Kalkulation 1'!$AH$33," " &amp; 'Kalkulation 1'!$R$9,"")</f>
        <v>Dammbalken 50/150 exkl. Dichtung, gesägt und entgratet (0 kg/Stk)</v>
      </c>
      <c r="H331" s="989"/>
      <c r="I331" s="989"/>
      <c r="J331" s="989"/>
      <c r="K331" s="989"/>
      <c r="L331" s="989"/>
      <c r="M331" s="990"/>
      <c r="N331" s="313"/>
      <c r="O331" s="426">
        <f t="shared" si="12"/>
        <v>0</v>
      </c>
      <c r="P331" s="286"/>
    </row>
    <row r="332" spans="2:16" ht="32.1" hidden="1" customHeight="1">
      <c r="B332" s="556"/>
      <c r="C332" s="312">
        <v>0</v>
      </c>
      <c r="D332" s="317">
        <f t="shared" si="11"/>
        <v>0</v>
      </c>
      <c r="E332" s="318" t="str">
        <f>VLOOKUP("[m]",Sprachindex!$A:$Z,Haftungsausschluß!$O$6,FALSE)</f>
        <v>[m]</v>
      </c>
      <c r="F332" s="318" t="str">
        <f>IF($L$14=1,Preisliste!$E$10,Preisliste!$F$10)</f>
        <v>H501000</v>
      </c>
      <c r="G332" s="988" t="str">
        <f>VLOOKUP("Dammbalken 50/150 exkl. Dichtung, gesägt und entgratet",Sprachindex!$A:$Z,Haftungsausschluß!$O$6,FALSE) &amp; " (" &amp; ROUNDUP(C332/1000*5.62,2) &amp; " " &amp; VLOOKUP("kg/Stk",Sprachindex!$A:$Z,Haftungsausschluß!$O$6,FALSE) &amp; ")" &amp; IF('Kalkulation 1'!$AH$33," " &amp; 'Kalkulation 1'!$R$9,"")</f>
        <v>Dammbalken 50/150 exkl. Dichtung, gesägt und entgratet (0 kg/Stk)</v>
      </c>
      <c r="H332" s="989"/>
      <c r="I332" s="989"/>
      <c r="J332" s="989"/>
      <c r="K332" s="989"/>
      <c r="L332" s="989"/>
      <c r="M332" s="990"/>
      <c r="N332" s="313"/>
      <c r="O332" s="426">
        <f t="shared" si="12"/>
        <v>0</v>
      </c>
      <c r="P332" s="286"/>
    </row>
    <row r="333" spans="2:16" ht="32.1" hidden="1" customHeight="1">
      <c r="B333" s="556"/>
      <c r="C333" s="312">
        <v>0</v>
      </c>
      <c r="D333" s="317">
        <f t="shared" si="11"/>
        <v>0</v>
      </c>
      <c r="E333" s="318" t="str">
        <f>VLOOKUP("[m]",Sprachindex!$A:$Z,Haftungsausschluß!$O$6,FALSE)</f>
        <v>[m]</v>
      </c>
      <c r="F333" s="318" t="str">
        <f>IF($L$14=1,Preisliste!$E$10,Preisliste!$F$10)</f>
        <v>H501000</v>
      </c>
      <c r="G333" s="988" t="str">
        <f>VLOOKUP("Dammbalken 50/150 exkl. Dichtung, gesägt und entgratet",Sprachindex!$A:$Z,Haftungsausschluß!$O$6,FALSE) &amp; " (" &amp; ROUNDUP(C333/1000*5.62,2) &amp; " " &amp; VLOOKUP("kg/Stk",Sprachindex!$A:$Z,Haftungsausschluß!$O$6,FALSE) &amp; ")" &amp; IF('Kalkulation 1'!$AH$33," " &amp; 'Kalkulation 1'!$R$9,"")</f>
        <v>Dammbalken 50/150 exkl. Dichtung, gesägt und entgratet (0 kg/Stk)</v>
      </c>
      <c r="H333" s="989"/>
      <c r="I333" s="989"/>
      <c r="J333" s="989"/>
      <c r="K333" s="989"/>
      <c r="L333" s="989"/>
      <c r="M333" s="990"/>
      <c r="N333" s="313"/>
      <c r="O333" s="426">
        <f t="shared" si="12"/>
        <v>0</v>
      </c>
      <c r="P333" s="286"/>
    </row>
    <row r="334" spans="2:16" ht="32.1" hidden="1" customHeight="1">
      <c r="B334" s="556"/>
      <c r="C334" s="312">
        <v>0</v>
      </c>
      <c r="D334" s="317">
        <f t="shared" si="11"/>
        <v>0</v>
      </c>
      <c r="E334" s="318" t="str">
        <f>VLOOKUP("[m]",Sprachindex!$A:$Z,Haftungsausschluß!$O$6,FALSE)</f>
        <v>[m]</v>
      </c>
      <c r="F334" s="318" t="str">
        <f>IF($L$14=1,Preisliste!$E$10,Preisliste!$F$10)</f>
        <v>H501000</v>
      </c>
      <c r="G334" s="988" t="str">
        <f>VLOOKUP("Dammbalken 50/150 exkl. Dichtung, gesägt und entgratet",Sprachindex!$A:$Z,Haftungsausschluß!$O$6,FALSE) &amp; " (" &amp; ROUNDUP(C334/1000*5.62,2) &amp; " " &amp; VLOOKUP("kg/Stk",Sprachindex!$A:$Z,Haftungsausschluß!$O$6,FALSE) &amp; ")" &amp; IF('Kalkulation 1'!$AH$33," " &amp; 'Kalkulation 1'!$R$9,"")</f>
        <v>Dammbalken 50/150 exkl. Dichtung, gesägt und entgratet (0 kg/Stk)</v>
      </c>
      <c r="H334" s="989"/>
      <c r="I334" s="989"/>
      <c r="J334" s="989"/>
      <c r="K334" s="989"/>
      <c r="L334" s="989"/>
      <c r="M334" s="990"/>
      <c r="N334" s="313"/>
      <c r="O334" s="426">
        <f t="shared" si="12"/>
        <v>0</v>
      </c>
      <c r="P334" s="286"/>
    </row>
    <row r="335" spans="2:16" ht="32.1" hidden="1" customHeight="1">
      <c r="B335" s="556"/>
      <c r="C335" s="312">
        <v>0</v>
      </c>
      <c r="D335" s="317">
        <f t="shared" ref="D335:D398" si="13">B335*C335/1000</f>
        <v>0</v>
      </c>
      <c r="E335" s="318" t="str">
        <f>VLOOKUP("[m]",Sprachindex!$A:$Z,Haftungsausschluß!$O$6,FALSE)</f>
        <v>[m]</v>
      </c>
      <c r="F335" s="318" t="str">
        <f>IF($L$14=1,Preisliste!$E$10,Preisliste!$F$10)</f>
        <v>H501000</v>
      </c>
      <c r="G335" s="988" t="str">
        <f>VLOOKUP("Dammbalken 50/150 exkl. Dichtung, gesägt und entgratet",Sprachindex!$A:$Z,Haftungsausschluß!$O$6,FALSE) &amp; " (" &amp; ROUNDUP(C335/1000*5.62,2) &amp; " " &amp; VLOOKUP("kg/Stk",Sprachindex!$A:$Z,Haftungsausschluß!$O$6,FALSE) &amp; ")" &amp; IF('Kalkulation 1'!$AH$33," " &amp; 'Kalkulation 1'!$R$9,"")</f>
        <v>Dammbalken 50/150 exkl. Dichtung, gesägt und entgratet (0 kg/Stk)</v>
      </c>
      <c r="H335" s="989"/>
      <c r="I335" s="989"/>
      <c r="J335" s="989"/>
      <c r="K335" s="989"/>
      <c r="L335" s="989"/>
      <c r="M335" s="990"/>
      <c r="N335" s="313"/>
      <c r="O335" s="426">
        <f t="shared" ref="O335:O398" si="14">N335*D335</f>
        <v>0</v>
      </c>
      <c r="P335" s="286"/>
    </row>
    <row r="336" spans="2:16" ht="32.1" hidden="1" customHeight="1">
      <c r="B336" s="556"/>
      <c r="C336" s="312">
        <v>0</v>
      </c>
      <c r="D336" s="317">
        <f t="shared" si="13"/>
        <v>0</v>
      </c>
      <c r="E336" s="318" t="str">
        <f>VLOOKUP("[m]",Sprachindex!$A:$Z,Haftungsausschluß!$O$6,FALSE)</f>
        <v>[m]</v>
      </c>
      <c r="F336" s="318" t="str">
        <f>IF($L$14=1,Preisliste!$E$10,Preisliste!$F$10)</f>
        <v>H501000</v>
      </c>
      <c r="G336" s="988" t="str">
        <f>VLOOKUP("Dammbalken 50/150 exkl. Dichtung, gesägt und entgratet",Sprachindex!$A:$Z,Haftungsausschluß!$O$6,FALSE) &amp; " (" &amp; ROUNDUP(C336/1000*5.62,2) &amp; " " &amp; VLOOKUP("kg/Stk",Sprachindex!$A:$Z,Haftungsausschluß!$O$6,FALSE) &amp; ")" &amp; IF('Kalkulation 1'!$AH$33," " &amp; 'Kalkulation 1'!$R$9,"")</f>
        <v>Dammbalken 50/150 exkl. Dichtung, gesägt und entgratet (0 kg/Stk)</v>
      </c>
      <c r="H336" s="989"/>
      <c r="I336" s="989"/>
      <c r="J336" s="989"/>
      <c r="K336" s="989"/>
      <c r="L336" s="989"/>
      <c r="M336" s="990"/>
      <c r="N336" s="313"/>
      <c r="O336" s="426">
        <f t="shared" si="14"/>
        <v>0</v>
      </c>
      <c r="P336" s="286"/>
    </row>
    <row r="337" spans="2:16" ht="32.1" hidden="1" customHeight="1">
      <c r="B337" s="556"/>
      <c r="C337" s="312">
        <v>0</v>
      </c>
      <c r="D337" s="317">
        <f t="shared" si="13"/>
        <v>0</v>
      </c>
      <c r="E337" s="318" t="str">
        <f>VLOOKUP("[m]",Sprachindex!$A:$Z,Haftungsausschluß!$O$6,FALSE)</f>
        <v>[m]</v>
      </c>
      <c r="F337" s="318" t="str">
        <f>IF($L$14=1,Preisliste!$E$10,Preisliste!$F$10)</f>
        <v>H501000</v>
      </c>
      <c r="G337" s="988" t="str">
        <f>VLOOKUP("Dammbalken 50/150 exkl. Dichtung, gesägt und entgratet",Sprachindex!$A:$Z,Haftungsausschluß!$O$6,FALSE) &amp; " (" &amp; ROUNDUP(C337/1000*5.62,2) &amp; " " &amp; VLOOKUP("kg/Stk",Sprachindex!$A:$Z,Haftungsausschluß!$O$6,FALSE) &amp; ")" &amp; IF('Kalkulation 1'!$AH$33," " &amp; 'Kalkulation 1'!$R$9,"")</f>
        <v>Dammbalken 50/150 exkl. Dichtung, gesägt und entgratet (0 kg/Stk)</v>
      </c>
      <c r="H337" s="989"/>
      <c r="I337" s="989"/>
      <c r="J337" s="989"/>
      <c r="K337" s="989"/>
      <c r="L337" s="989"/>
      <c r="M337" s="990"/>
      <c r="N337" s="313"/>
      <c r="O337" s="426">
        <f t="shared" si="14"/>
        <v>0</v>
      </c>
      <c r="P337" s="286"/>
    </row>
    <row r="338" spans="2:16" ht="32.1" hidden="1" customHeight="1">
      <c r="B338" s="556"/>
      <c r="C338" s="312">
        <v>0</v>
      </c>
      <c r="D338" s="317">
        <f t="shared" si="13"/>
        <v>0</v>
      </c>
      <c r="E338" s="318" t="str">
        <f>VLOOKUP("[m]",Sprachindex!$A:$Z,Haftungsausschluß!$O$6,FALSE)</f>
        <v>[m]</v>
      </c>
      <c r="F338" s="318" t="str">
        <f>IF($L$14=1,Preisliste!$E$10,Preisliste!$F$10)</f>
        <v>H501000</v>
      </c>
      <c r="G338" s="988" t="str">
        <f>VLOOKUP("Dammbalken 50/150 exkl. Dichtung, gesägt und entgratet",Sprachindex!$A:$Z,Haftungsausschluß!$O$6,FALSE) &amp; " (" &amp; ROUNDUP(C338/1000*5.62,2) &amp; " " &amp; VLOOKUP("kg/Stk",Sprachindex!$A:$Z,Haftungsausschluß!$O$6,FALSE) &amp; ")" &amp; IF('Kalkulation 1'!$AH$33," " &amp; 'Kalkulation 1'!$R$9,"")</f>
        <v>Dammbalken 50/150 exkl. Dichtung, gesägt und entgratet (0 kg/Stk)</v>
      </c>
      <c r="H338" s="989"/>
      <c r="I338" s="989"/>
      <c r="J338" s="989"/>
      <c r="K338" s="989"/>
      <c r="L338" s="989"/>
      <c r="M338" s="990"/>
      <c r="N338" s="313"/>
      <c r="O338" s="426">
        <f t="shared" si="14"/>
        <v>0</v>
      </c>
      <c r="P338" s="286"/>
    </row>
    <row r="339" spans="2:16" ht="32.1" hidden="1" customHeight="1">
      <c r="B339" s="556"/>
      <c r="C339" s="312">
        <v>0</v>
      </c>
      <c r="D339" s="317">
        <f t="shared" si="13"/>
        <v>0</v>
      </c>
      <c r="E339" s="318" t="str">
        <f>VLOOKUP("[m]",Sprachindex!$A:$Z,Haftungsausschluß!$O$6,FALSE)</f>
        <v>[m]</v>
      </c>
      <c r="F339" s="318" t="str">
        <f>IF($L$14=1,Preisliste!$E$10,Preisliste!$F$10)</f>
        <v>H501000</v>
      </c>
      <c r="G339" s="988" t="str">
        <f>VLOOKUP("Dammbalken 50/150 exkl. Dichtung, gesägt und entgratet",Sprachindex!$A:$Z,Haftungsausschluß!$O$6,FALSE) &amp; " (" &amp; ROUNDUP(C339/1000*5.62,2) &amp; " " &amp; VLOOKUP("kg/Stk",Sprachindex!$A:$Z,Haftungsausschluß!$O$6,FALSE) &amp; ")" &amp; IF('Kalkulation 1'!$AH$33," " &amp; 'Kalkulation 1'!$R$9,"")</f>
        <v>Dammbalken 50/150 exkl. Dichtung, gesägt und entgratet (0 kg/Stk)</v>
      </c>
      <c r="H339" s="989"/>
      <c r="I339" s="989"/>
      <c r="J339" s="989"/>
      <c r="K339" s="989"/>
      <c r="L339" s="989"/>
      <c r="M339" s="990"/>
      <c r="N339" s="313"/>
      <c r="O339" s="426">
        <f t="shared" si="14"/>
        <v>0</v>
      </c>
      <c r="P339" s="286"/>
    </row>
    <row r="340" spans="2:16" ht="32.1" hidden="1" customHeight="1">
      <c r="B340" s="556"/>
      <c r="C340" s="312">
        <v>0</v>
      </c>
      <c r="D340" s="317">
        <f t="shared" si="13"/>
        <v>0</v>
      </c>
      <c r="E340" s="318" t="str">
        <f>VLOOKUP("[m]",Sprachindex!$A:$Z,Haftungsausschluß!$O$6,FALSE)</f>
        <v>[m]</v>
      </c>
      <c r="F340" s="318" t="str">
        <f>IF($L$14=1,Preisliste!$E$10,Preisliste!$F$10)</f>
        <v>H501000</v>
      </c>
      <c r="G340" s="988" t="str">
        <f>VLOOKUP("Dammbalken 50/150 exkl. Dichtung, gesägt und entgratet",Sprachindex!$A:$Z,Haftungsausschluß!$O$6,FALSE) &amp; " (" &amp; ROUNDUP(C340/1000*5.62,2) &amp; " " &amp; VLOOKUP("kg/Stk",Sprachindex!$A:$Z,Haftungsausschluß!$O$6,FALSE) &amp; ")" &amp; IF('Kalkulation 1'!$AH$33," " &amp; 'Kalkulation 1'!$R$9,"")</f>
        <v>Dammbalken 50/150 exkl. Dichtung, gesägt und entgratet (0 kg/Stk)</v>
      </c>
      <c r="H340" s="989"/>
      <c r="I340" s="989"/>
      <c r="J340" s="989"/>
      <c r="K340" s="989"/>
      <c r="L340" s="989"/>
      <c r="M340" s="990"/>
      <c r="N340" s="313"/>
      <c r="O340" s="426">
        <f t="shared" si="14"/>
        <v>0</v>
      </c>
      <c r="P340" s="286"/>
    </row>
    <row r="341" spans="2:16" ht="32.1" hidden="1" customHeight="1">
      <c r="B341" s="556"/>
      <c r="C341" s="312">
        <v>0</v>
      </c>
      <c r="D341" s="317">
        <f t="shared" si="13"/>
        <v>0</v>
      </c>
      <c r="E341" s="318" t="str">
        <f>VLOOKUP("[m]",Sprachindex!$A:$Z,Haftungsausschluß!$O$6,FALSE)</f>
        <v>[m]</v>
      </c>
      <c r="F341" s="318" t="str">
        <f>IF($L$14=1,Preisliste!$E$10,Preisliste!$F$10)</f>
        <v>H501000</v>
      </c>
      <c r="G341" s="988" t="str">
        <f>VLOOKUP("Dammbalken 50/150 exkl. Dichtung, gesägt und entgratet",Sprachindex!$A:$Z,Haftungsausschluß!$O$6,FALSE) &amp; " (" &amp; ROUNDUP(C341/1000*5.62,2) &amp; " " &amp; VLOOKUP("kg/Stk",Sprachindex!$A:$Z,Haftungsausschluß!$O$6,FALSE) &amp; ")" &amp; IF('Kalkulation 1'!$AH$33," " &amp; 'Kalkulation 1'!$R$9,"")</f>
        <v>Dammbalken 50/150 exkl. Dichtung, gesägt und entgratet (0 kg/Stk)</v>
      </c>
      <c r="H341" s="989"/>
      <c r="I341" s="989"/>
      <c r="J341" s="989"/>
      <c r="K341" s="989"/>
      <c r="L341" s="989"/>
      <c r="M341" s="990"/>
      <c r="N341" s="313"/>
      <c r="O341" s="426">
        <f t="shared" si="14"/>
        <v>0</v>
      </c>
      <c r="P341" s="286"/>
    </row>
    <row r="342" spans="2:16" ht="32.1" hidden="1" customHeight="1">
      <c r="B342" s="556"/>
      <c r="C342" s="312">
        <v>0</v>
      </c>
      <c r="D342" s="317">
        <f t="shared" si="13"/>
        <v>0</v>
      </c>
      <c r="E342" s="318" t="str">
        <f>VLOOKUP("[m]",Sprachindex!$A:$Z,Haftungsausschluß!$O$6,FALSE)</f>
        <v>[m]</v>
      </c>
      <c r="F342" s="318" t="str">
        <f>IF($L$14=1,Preisliste!$E$10,Preisliste!$F$10)</f>
        <v>H501000</v>
      </c>
      <c r="G342" s="988" t="str">
        <f>VLOOKUP("Dammbalken 50/150 exkl. Dichtung, gesägt und entgratet",Sprachindex!$A:$Z,Haftungsausschluß!$O$6,FALSE) &amp; " (" &amp; ROUNDUP(C342/1000*5.62,2) &amp; " " &amp; VLOOKUP("kg/Stk",Sprachindex!$A:$Z,Haftungsausschluß!$O$6,FALSE) &amp; ")" &amp; IF('Kalkulation 1'!$AH$33," " &amp; 'Kalkulation 1'!$R$9,"")</f>
        <v>Dammbalken 50/150 exkl. Dichtung, gesägt und entgratet (0 kg/Stk)</v>
      </c>
      <c r="H342" s="989"/>
      <c r="I342" s="989"/>
      <c r="J342" s="989"/>
      <c r="K342" s="989"/>
      <c r="L342" s="989"/>
      <c r="M342" s="990"/>
      <c r="N342" s="313"/>
      <c r="O342" s="426">
        <f t="shared" si="14"/>
        <v>0</v>
      </c>
      <c r="P342" s="286"/>
    </row>
    <row r="343" spans="2:16" ht="32.1" hidden="1" customHeight="1">
      <c r="B343" s="556"/>
      <c r="C343" s="312">
        <v>0</v>
      </c>
      <c r="D343" s="317">
        <f t="shared" si="13"/>
        <v>0</v>
      </c>
      <c r="E343" s="318" t="str">
        <f>VLOOKUP("[m]",Sprachindex!$A:$Z,Haftungsausschluß!$O$6,FALSE)</f>
        <v>[m]</v>
      </c>
      <c r="F343" s="318" t="str">
        <f>IF($L$14=1,Preisliste!$E$10,Preisliste!$F$10)</f>
        <v>H501000</v>
      </c>
      <c r="G343" s="988" t="str">
        <f>VLOOKUP("Dammbalken 50/150 exkl. Dichtung, gesägt und entgratet",Sprachindex!$A:$Z,Haftungsausschluß!$O$6,FALSE) &amp; " (" &amp; ROUNDUP(C343/1000*5.62,2) &amp; " " &amp; VLOOKUP("kg/Stk",Sprachindex!$A:$Z,Haftungsausschluß!$O$6,FALSE) &amp; ")" &amp; IF('Kalkulation 1'!$AH$33," " &amp; 'Kalkulation 1'!$R$9,"")</f>
        <v>Dammbalken 50/150 exkl. Dichtung, gesägt und entgratet (0 kg/Stk)</v>
      </c>
      <c r="H343" s="989"/>
      <c r="I343" s="989"/>
      <c r="J343" s="989"/>
      <c r="K343" s="989"/>
      <c r="L343" s="989"/>
      <c r="M343" s="990"/>
      <c r="N343" s="313"/>
      <c r="O343" s="426">
        <f t="shared" si="14"/>
        <v>0</v>
      </c>
      <c r="P343" s="286"/>
    </row>
    <row r="344" spans="2:16" ht="32.1" hidden="1" customHeight="1">
      <c r="B344" s="556"/>
      <c r="C344" s="312">
        <v>0</v>
      </c>
      <c r="D344" s="317">
        <f t="shared" si="13"/>
        <v>0</v>
      </c>
      <c r="E344" s="318" t="str">
        <f>VLOOKUP("[m]",Sprachindex!$A:$Z,Haftungsausschluß!$O$6,FALSE)</f>
        <v>[m]</v>
      </c>
      <c r="F344" s="318" t="str">
        <f>IF($L$14=1,Preisliste!$E$10,Preisliste!$F$10)</f>
        <v>H501000</v>
      </c>
      <c r="G344" s="988" t="str">
        <f>VLOOKUP("Dammbalken 50/150 exkl. Dichtung, gesägt und entgratet",Sprachindex!$A:$Z,Haftungsausschluß!$O$6,FALSE) &amp; " (" &amp; ROUNDUP(C344/1000*5.62,2) &amp; " " &amp; VLOOKUP("kg/Stk",Sprachindex!$A:$Z,Haftungsausschluß!$O$6,FALSE) &amp; ")" &amp; IF('Kalkulation 1'!$AH$33," " &amp; 'Kalkulation 1'!$R$9,"")</f>
        <v>Dammbalken 50/150 exkl. Dichtung, gesägt und entgratet (0 kg/Stk)</v>
      </c>
      <c r="H344" s="989"/>
      <c r="I344" s="989"/>
      <c r="J344" s="989"/>
      <c r="K344" s="989"/>
      <c r="L344" s="989"/>
      <c r="M344" s="990"/>
      <c r="N344" s="313"/>
      <c r="O344" s="426">
        <f t="shared" si="14"/>
        <v>0</v>
      </c>
      <c r="P344" s="286"/>
    </row>
    <row r="345" spans="2:16" ht="32.1" hidden="1" customHeight="1">
      <c r="B345" s="556"/>
      <c r="C345" s="312">
        <v>0</v>
      </c>
      <c r="D345" s="317">
        <f t="shared" si="13"/>
        <v>0</v>
      </c>
      <c r="E345" s="318" t="str">
        <f>VLOOKUP("[m]",Sprachindex!$A:$Z,Haftungsausschluß!$O$6,FALSE)</f>
        <v>[m]</v>
      </c>
      <c r="F345" s="318" t="str">
        <f>IF($L$14=1,Preisliste!$E$10,Preisliste!$F$10)</f>
        <v>H501000</v>
      </c>
      <c r="G345" s="988" t="str">
        <f>VLOOKUP("Dammbalken 50/150 exkl. Dichtung, gesägt und entgratet",Sprachindex!$A:$Z,Haftungsausschluß!$O$6,FALSE) &amp; " (" &amp; ROUNDUP(C345/1000*5.62,2) &amp; " " &amp; VLOOKUP("kg/Stk",Sprachindex!$A:$Z,Haftungsausschluß!$O$6,FALSE) &amp; ")" &amp; IF('Kalkulation 1'!$AH$33," " &amp; 'Kalkulation 1'!$R$9,"")</f>
        <v>Dammbalken 50/150 exkl. Dichtung, gesägt und entgratet (0 kg/Stk)</v>
      </c>
      <c r="H345" s="989"/>
      <c r="I345" s="989"/>
      <c r="J345" s="989"/>
      <c r="K345" s="989"/>
      <c r="L345" s="989"/>
      <c r="M345" s="990"/>
      <c r="N345" s="313"/>
      <c r="O345" s="426">
        <f t="shared" si="14"/>
        <v>0</v>
      </c>
      <c r="P345" s="286"/>
    </row>
    <row r="346" spans="2:16" ht="32.1" hidden="1" customHeight="1">
      <c r="B346" s="556"/>
      <c r="C346" s="312">
        <v>0</v>
      </c>
      <c r="D346" s="317">
        <f t="shared" si="13"/>
        <v>0</v>
      </c>
      <c r="E346" s="318" t="str">
        <f>VLOOKUP("[m]",Sprachindex!$A:$Z,Haftungsausschluß!$O$6,FALSE)</f>
        <v>[m]</v>
      </c>
      <c r="F346" s="318" t="str">
        <f>IF($L$14=1,Preisliste!$E$10,Preisliste!$F$10)</f>
        <v>H501000</v>
      </c>
      <c r="G346" s="988" t="str">
        <f>VLOOKUP("Dammbalken 50/150 exkl. Dichtung, gesägt und entgratet",Sprachindex!$A:$Z,Haftungsausschluß!$O$6,FALSE) &amp; " (" &amp; ROUNDUP(C346/1000*5.62,2) &amp; " " &amp; VLOOKUP("kg/Stk",Sprachindex!$A:$Z,Haftungsausschluß!$O$6,FALSE) &amp; ")" &amp; IF('Kalkulation 1'!$AH$33," " &amp; 'Kalkulation 1'!$R$9,"")</f>
        <v>Dammbalken 50/150 exkl. Dichtung, gesägt und entgratet (0 kg/Stk)</v>
      </c>
      <c r="H346" s="989"/>
      <c r="I346" s="989"/>
      <c r="J346" s="989"/>
      <c r="K346" s="989"/>
      <c r="L346" s="989"/>
      <c r="M346" s="990"/>
      <c r="N346" s="313"/>
      <c r="O346" s="426">
        <f t="shared" si="14"/>
        <v>0</v>
      </c>
      <c r="P346" s="286"/>
    </row>
    <row r="347" spans="2:16" ht="32.1" hidden="1" customHeight="1">
      <c r="B347" s="556"/>
      <c r="C347" s="312">
        <v>0</v>
      </c>
      <c r="D347" s="317">
        <f t="shared" si="13"/>
        <v>0</v>
      </c>
      <c r="E347" s="318" t="str">
        <f>VLOOKUP("[m]",Sprachindex!$A:$Z,Haftungsausschluß!$O$6,FALSE)</f>
        <v>[m]</v>
      </c>
      <c r="F347" s="318" t="str">
        <f>IF($L$14=1,Preisliste!$E$10,Preisliste!$F$10)</f>
        <v>H501000</v>
      </c>
      <c r="G347" s="988" t="str">
        <f>VLOOKUP("Dammbalken 50/150 exkl. Dichtung, gesägt und entgratet",Sprachindex!$A:$Z,Haftungsausschluß!$O$6,FALSE) &amp; " (" &amp; ROUNDUP(C347/1000*5.62,2) &amp; " " &amp; VLOOKUP("kg/Stk",Sprachindex!$A:$Z,Haftungsausschluß!$O$6,FALSE) &amp; ")" &amp; IF('Kalkulation 1'!$AH$33," " &amp; 'Kalkulation 1'!$R$9,"")</f>
        <v>Dammbalken 50/150 exkl. Dichtung, gesägt und entgratet (0 kg/Stk)</v>
      </c>
      <c r="H347" s="989"/>
      <c r="I347" s="989"/>
      <c r="J347" s="989"/>
      <c r="K347" s="989"/>
      <c r="L347" s="989"/>
      <c r="M347" s="990"/>
      <c r="N347" s="313"/>
      <c r="O347" s="426">
        <f t="shared" si="14"/>
        <v>0</v>
      </c>
      <c r="P347" s="286"/>
    </row>
    <row r="348" spans="2:16" ht="32.1" hidden="1" customHeight="1">
      <c r="B348" s="556"/>
      <c r="C348" s="312">
        <v>0</v>
      </c>
      <c r="D348" s="317">
        <f t="shared" si="13"/>
        <v>0</v>
      </c>
      <c r="E348" s="318" t="str">
        <f>VLOOKUP("[m]",Sprachindex!$A:$Z,Haftungsausschluß!$O$6,FALSE)</f>
        <v>[m]</v>
      </c>
      <c r="F348" s="318" t="str">
        <f>IF($L$14=1,Preisliste!$E$10,Preisliste!$F$10)</f>
        <v>H501000</v>
      </c>
      <c r="G348" s="988" t="str">
        <f>VLOOKUP("Dammbalken 50/150 exkl. Dichtung, gesägt und entgratet",Sprachindex!$A:$Z,Haftungsausschluß!$O$6,FALSE) &amp; " (" &amp; ROUNDUP(C348/1000*5.62,2) &amp; " " &amp; VLOOKUP("kg/Stk",Sprachindex!$A:$Z,Haftungsausschluß!$O$6,FALSE) &amp; ")" &amp; IF('Kalkulation 1'!$AH$33," " &amp; 'Kalkulation 1'!$R$9,"")</f>
        <v>Dammbalken 50/150 exkl. Dichtung, gesägt und entgratet (0 kg/Stk)</v>
      </c>
      <c r="H348" s="989"/>
      <c r="I348" s="989"/>
      <c r="J348" s="989"/>
      <c r="K348" s="989"/>
      <c r="L348" s="989"/>
      <c r="M348" s="990"/>
      <c r="N348" s="313"/>
      <c r="O348" s="426">
        <f t="shared" si="14"/>
        <v>0</v>
      </c>
      <c r="P348" s="286"/>
    </row>
    <row r="349" spans="2:16" ht="32.1" hidden="1" customHeight="1">
      <c r="B349" s="556"/>
      <c r="C349" s="312">
        <v>0</v>
      </c>
      <c r="D349" s="317">
        <f t="shared" si="13"/>
        <v>0</v>
      </c>
      <c r="E349" s="318" t="str">
        <f>VLOOKUP("[m]",Sprachindex!$A:$Z,Haftungsausschluß!$O$6,FALSE)</f>
        <v>[m]</v>
      </c>
      <c r="F349" s="318" t="str">
        <f>IF($L$14=1,Preisliste!$E$10,Preisliste!$F$10)</f>
        <v>H501000</v>
      </c>
      <c r="G349" s="988" t="str">
        <f>VLOOKUP("Dammbalken 50/150 exkl. Dichtung, gesägt und entgratet",Sprachindex!$A:$Z,Haftungsausschluß!$O$6,FALSE) &amp; " (" &amp; ROUNDUP(C349/1000*5.62,2) &amp; " " &amp; VLOOKUP("kg/Stk",Sprachindex!$A:$Z,Haftungsausschluß!$O$6,FALSE) &amp; ")" &amp; IF('Kalkulation 1'!$AH$33," " &amp; 'Kalkulation 1'!$R$9,"")</f>
        <v>Dammbalken 50/150 exkl. Dichtung, gesägt und entgratet (0 kg/Stk)</v>
      </c>
      <c r="H349" s="989"/>
      <c r="I349" s="989"/>
      <c r="J349" s="989"/>
      <c r="K349" s="989"/>
      <c r="L349" s="989"/>
      <c r="M349" s="990"/>
      <c r="N349" s="313"/>
      <c r="O349" s="426">
        <f t="shared" si="14"/>
        <v>0</v>
      </c>
      <c r="P349" s="286"/>
    </row>
    <row r="350" spans="2:16" ht="32.1" hidden="1" customHeight="1">
      <c r="B350" s="556"/>
      <c r="C350" s="312">
        <v>0</v>
      </c>
      <c r="D350" s="317">
        <f t="shared" si="13"/>
        <v>0</v>
      </c>
      <c r="E350" s="318" t="str">
        <f>VLOOKUP("[m]",Sprachindex!$A:$Z,Haftungsausschluß!$O$6,FALSE)</f>
        <v>[m]</v>
      </c>
      <c r="F350" s="318" t="str">
        <f>IF($L$14=1,Preisliste!$E$10,Preisliste!$F$10)</f>
        <v>H501000</v>
      </c>
      <c r="G350" s="988" t="str">
        <f>VLOOKUP("Dammbalken 50/150 exkl. Dichtung, gesägt und entgratet",Sprachindex!$A:$Z,Haftungsausschluß!$O$6,FALSE) &amp; " (" &amp; ROUNDUP(C350/1000*5.62,2) &amp; " " &amp; VLOOKUP("kg/Stk",Sprachindex!$A:$Z,Haftungsausschluß!$O$6,FALSE) &amp; ")" &amp; IF('Kalkulation 1'!$AH$33," " &amp; 'Kalkulation 1'!$R$9,"")</f>
        <v>Dammbalken 50/150 exkl. Dichtung, gesägt und entgratet (0 kg/Stk)</v>
      </c>
      <c r="H350" s="989"/>
      <c r="I350" s="989"/>
      <c r="J350" s="989"/>
      <c r="K350" s="989"/>
      <c r="L350" s="989"/>
      <c r="M350" s="990"/>
      <c r="N350" s="313"/>
      <c r="O350" s="426">
        <f t="shared" si="14"/>
        <v>0</v>
      </c>
      <c r="P350" s="286"/>
    </row>
    <row r="351" spans="2:16" ht="32.1" hidden="1" customHeight="1">
      <c r="B351" s="556"/>
      <c r="C351" s="312">
        <v>0</v>
      </c>
      <c r="D351" s="317">
        <f t="shared" si="13"/>
        <v>0</v>
      </c>
      <c r="E351" s="318" t="str">
        <f>VLOOKUP("[m]",Sprachindex!$A:$Z,Haftungsausschluß!$O$6,FALSE)</f>
        <v>[m]</v>
      </c>
      <c r="F351" s="318" t="str">
        <f>IF($L$14=1,Preisliste!$E$10,Preisliste!$F$10)</f>
        <v>H501000</v>
      </c>
      <c r="G351" s="988" t="str">
        <f>VLOOKUP("Dammbalken 50/150 exkl. Dichtung, gesägt und entgratet",Sprachindex!$A:$Z,Haftungsausschluß!$O$6,FALSE) &amp; " (" &amp; ROUNDUP(C351/1000*5.62,2) &amp; " " &amp; VLOOKUP("kg/Stk",Sprachindex!$A:$Z,Haftungsausschluß!$O$6,FALSE) &amp; ")" &amp; IF('Kalkulation 1'!$AH$33," " &amp; 'Kalkulation 1'!$R$9,"")</f>
        <v>Dammbalken 50/150 exkl. Dichtung, gesägt und entgratet (0 kg/Stk)</v>
      </c>
      <c r="H351" s="989"/>
      <c r="I351" s="989"/>
      <c r="J351" s="989"/>
      <c r="K351" s="989"/>
      <c r="L351" s="989"/>
      <c r="M351" s="990"/>
      <c r="N351" s="313"/>
      <c r="O351" s="426">
        <f t="shared" si="14"/>
        <v>0</v>
      </c>
      <c r="P351" s="286"/>
    </row>
    <row r="352" spans="2:16" ht="32.1" hidden="1" customHeight="1">
      <c r="B352" s="556"/>
      <c r="C352" s="312">
        <v>0</v>
      </c>
      <c r="D352" s="317">
        <f t="shared" si="13"/>
        <v>0</v>
      </c>
      <c r="E352" s="318" t="str">
        <f>VLOOKUP("[m]",Sprachindex!$A:$Z,Haftungsausschluß!$O$6,FALSE)</f>
        <v>[m]</v>
      </c>
      <c r="F352" s="318" t="str">
        <f>IF($L$14=1,Preisliste!$E$10,Preisliste!$F$10)</f>
        <v>H501000</v>
      </c>
      <c r="G352" s="988" t="str">
        <f>VLOOKUP("Dammbalken 50/150 exkl. Dichtung, gesägt und entgratet",Sprachindex!$A:$Z,Haftungsausschluß!$O$6,FALSE) &amp; " (" &amp; ROUNDUP(C352/1000*5.62,2) &amp; " " &amp; VLOOKUP("kg/Stk",Sprachindex!$A:$Z,Haftungsausschluß!$O$6,FALSE) &amp; ")" &amp; IF('Kalkulation 1'!$AH$33," " &amp; 'Kalkulation 1'!$R$9,"")</f>
        <v>Dammbalken 50/150 exkl. Dichtung, gesägt und entgratet (0 kg/Stk)</v>
      </c>
      <c r="H352" s="989"/>
      <c r="I352" s="989"/>
      <c r="J352" s="989"/>
      <c r="K352" s="989"/>
      <c r="L352" s="989"/>
      <c r="M352" s="990"/>
      <c r="N352" s="313"/>
      <c r="O352" s="426">
        <f t="shared" si="14"/>
        <v>0</v>
      </c>
      <c r="P352" s="286"/>
    </row>
    <row r="353" spans="2:16" ht="32.1" hidden="1" customHeight="1">
      <c r="B353" s="556"/>
      <c r="C353" s="312">
        <v>0</v>
      </c>
      <c r="D353" s="317">
        <f t="shared" si="13"/>
        <v>0</v>
      </c>
      <c r="E353" s="318" t="str">
        <f>VLOOKUP("[m]",Sprachindex!$A:$Z,Haftungsausschluß!$O$6,FALSE)</f>
        <v>[m]</v>
      </c>
      <c r="F353" s="318" t="str">
        <f>IF($L$14=1,Preisliste!$E$10,Preisliste!$F$10)</f>
        <v>H501000</v>
      </c>
      <c r="G353" s="988" t="str">
        <f>VLOOKUP("Dammbalken 50/150 exkl. Dichtung, gesägt und entgratet",Sprachindex!$A:$Z,Haftungsausschluß!$O$6,FALSE) &amp; " (" &amp; ROUNDUP(C353/1000*5.62,2) &amp; " " &amp; VLOOKUP("kg/Stk",Sprachindex!$A:$Z,Haftungsausschluß!$O$6,FALSE) &amp; ")" &amp; IF('Kalkulation 1'!$AH$33," " &amp; 'Kalkulation 1'!$R$9,"")</f>
        <v>Dammbalken 50/150 exkl. Dichtung, gesägt und entgratet (0 kg/Stk)</v>
      </c>
      <c r="H353" s="989"/>
      <c r="I353" s="989"/>
      <c r="J353" s="989"/>
      <c r="K353" s="989"/>
      <c r="L353" s="989"/>
      <c r="M353" s="990"/>
      <c r="N353" s="313"/>
      <c r="O353" s="426">
        <f t="shared" si="14"/>
        <v>0</v>
      </c>
      <c r="P353" s="286"/>
    </row>
    <row r="354" spans="2:16" ht="32.1" hidden="1" customHeight="1">
      <c r="B354" s="556"/>
      <c r="C354" s="312">
        <v>0</v>
      </c>
      <c r="D354" s="317">
        <f t="shared" si="13"/>
        <v>0</v>
      </c>
      <c r="E354" s="318" t="str">
        <f>VLOOKUP("[m]",Sprachindex!$A:$Z,Haftungsausschluß!$O$6,FALSE)</f>
        <v>[m]</v>
      </c>
      <c r="F354" s="318" t="str">
        <f>IF($L$14=1,Preisliste!$E$10,Preisliste!$F$10)</f>
        <v>H501000</v>
      </c>
      <c r="G354" s="988" t="str">
        <f>VLOOKUP("Dammbalken 50/150 exkl. Dichtung, gesägt und entgratet",Sprachindex!$A:$Z,Haftungsausschluß!$O$6,FALSE) &amp; " (" &amp; ROUNDUP(C354/1000*5.62,2) &amp; " " &amp; VLOOKUP("kg/Stk",Sprachindex!$A:$Z,Haftungsausschluß!$O$6,FALSE) &amp; ")" &amp; IF('Kalkulation 1'!$AH$33," " &amp; 'Kalkulation 1'!$R$9,"")</f>
        <v>Dammbalken 50/150 exkl. Dichtung, gesägt und entgratet (0 kg/Stk)</v>
      </c>
      <c r="H354" s="989"/>
      <c r="I354" s="989"/>
      <c r="J354" s="989"/>
      <c r="K354" s="989"/>
      <c r="L354" s="989"/>
      <c r="M354" s="990"/>
      <c r="N354" s="313"/>
      <c r="O354" s="426">
        <f t="shared" si="14"/>
        <v>0</v>
      </c>
      <c r="P354" s="286"/>
    </row>
    <row r="355" spans="2:16" ht="32.1" hidden="1" customHeight="1">
      <c r="B355" s="556"/>
      <c r="C355" s="312">
        <v>0</v>
      </c>
      <c r="D355" s="317">
        <f t="shared" si="13"/>
        <v>0</v>
      </c>
      <c r="E355" s="318" t="str">
        <f>VLOOKUP("[m]",Sprachindex!$A:$Z,Haftungsausschluß!$O$6,FALSE)</f>
        <v>[m]</v>
      </c>
      <c r="F355" s="318" t="str">
        <f>IF($L$14=1,Preisliste!$E$10,Preisliste!$F$10)</f>
        <v>H501000</v>
      </c>
      <c r="G355" s="988" t="str">
        <f>VLOOKUP("Dammbalken 50/150 exkl. Dichtung, gesägt und entgratet",Sprachindex!$A:$Z,Haftungsausschluß!$O$6,FALSE) &amp; " (" &amp; ROUNDUP(C355/1000*5.62,2) &amp; " " &amp; VLOOKUP("kg/Stk",Sprachindex!$A:$Z,Haftungsausschluß!$O$6,FALSE) &amp; ")" &amp; IF('Kalkulation 1'!$AH$33," " &amp; 'Kalkulation 1'!$R$9,"")</f>
        <v>Dammbalken 50/150 exkl. Dichtung, gesägt und entgratet (0 kg/Stk)</v>
      </c>
      <c r="H355" s="989"/>
      <c r="I355" s="989"/>
      <c r="J355" s="989"/>
      <c r="K355" s="989"/>
      <c r="L355" s="989"/>
      <c r="M355" s="990"/>
      <c r="N355" s="313"/>
      <c r="O355" s="426">
        <f t="shared" si="14"/>
        <v>0</v>
      </c>
      <c r="P355" s="286"/>
    </row>
    <row r="356" spans="2:16" ht="32.1" hidden="1" customHeight="1">
      <c r="B356" s="556"/>
      <c r="C356" s="312">
        <v>0</v>
      </c>
      <c r="D356" s="317">
        <f t="shared" si="13"/>
        <v>0</v>
      </c>
      <c r="E356" s="318" t="str">
        <f>VLOOKUP("[m]",Sprachindex!$A:$Z,Haftungsausschluß!$O$6,FALSE)</f>
        <v>[m]</v>
      </c>
      <c r="F356" s="318" t="str">
        <f>IF($L$14=1,Preisliste!$E$10,Preisliste!$F$10)</f>
        <v>H501000</v>
      </c>
      <c r="G356" s="988" t="str">
        <f>VLOOKUP("Dammbalken 50/150 exkl. Dichtung, gesägt und entgratet",Sprachindex!$A:$Z,Haftungsausschluß!$O$6,FALSE) &amp; " (" &amp; ROUNDUP(C356/1000*5.62,2) &amp; " " &amp; VLOOKUP("kg/Stk",Sprachindex!$A:$Z,Haftungsausschluß!$O$6,FALSE) &amp; ")" &amp; IF('Kalkulation 1'!$AH$33," " &amp; 'Kalkulation 1'!$R$9,"")</f>
        <v>Dammbalken 50/150 exkl. Dichtung, gesägt und entgratet (0 kg/Stk)</v>
      </c>
      <c r="H356" s="989"/>
      <c r="I356" s="989"/>
      <c r="J356" s="989"/>
      <c r="K356" s="989"/>
      <c r="L356" s="989"/>
      <c r="M356" s="990"/>
      <c r="N356" s="313"/>
      <c r="O356" s="426">
        <f t="shared" si="14"/>
        <v>0</v>
      </c>
      <c r="P356" s="286"/>
    </row>
    <row r="357" spans="2:16" ht="32.1" hidden="1" customHeight="1">
      <c r="B357" s="556"/>
      <c r="C357" s="312">
        <v>0</v>
      </c>
      <c r="D357" s="317">
        <f t="shared" si="13"/>
        <v>0</v>
      </c>
      <c r="E357" s="318" t="str">
        <f>VLOOKUP("[m]",Sprachindex!$A:$Z,Haftungsausschluß!$O$6,FALSE)</f>
        <v>[m]</v>
      </c>
      <c r="F357" s="318" t="str">
        <f>IF($L$14=1,Preisliste!$E$10,Preisliste!$F$10)</f>
        <v>H501000</v>
      </c>
      <c r="G357" s="988" t="str">
        <f>VLOOKUP("Dammbalken 50/150 exkl. Dichtung, gesägt und entgratet",Sprachindex!$A:$Z,Haftungsausschluß!$O$6,FALSE) &amp; " (" &amp; ROUNDUP(C357/1000*5.62,2) &amp; " " &amp; VLOOKUP("kg/Stk",Sprachindex!$A:$Z,Haftungsausschluß!$O$6,FALSE) &amp; ")" &amp; IF('Kalkulation 1'!$AH$33," " &amp; 'Kalkulation 1'!$R$9,"")</f>
        <v>Dammbalken 50/150 exkl. Dichtung, gesägt und entgratet (0 kg/Stk)</v>
      </c>
      <c r="H357" s="989"/>
      <c r="I357" s="989"/>
      <c r="J357" s="989"/>
      <c r="K357" s="989"/>
      <c r="L357" s="989"/>
      <c r="M357" s="990"/>
      <c r="N357" s="313"/>
      <c r="O357" s="426">
        <f t="shared" si="14"/>
        <v>0</v>
      </c>
      <c r="P357" s="286"/>
    </row>
    <row r="358" spans="2:16" ht="32.1" hidden="1" customHeight="1">
      <c r="B358" s="556"/>
      <c r="C358" s="312">
        <v>0</v>
      </c>
      <c r="D358" s="317">
        <f t="shared" si="13"/>
        <v>0</v>
      </c>
      <c r="E358" s="318" t="str">
        <f>VLOOKUP("[m]",Sprachindex!$A:$Z,Haftungsausschluß!$O$6,FALSE)</f>
        <v>[m]</v>
      </c>
      <c r="F358" s="318" t="str">
        <f>IF($L$14=1,Preisliste!$E$10,Preisliste!$F$10)</f>
        <v>H501000</v>
      </c>
      <c r="G358" s="988" t="str">
        <f>VLOOKUP("Dammbalken 50/150 exkl. Dichtung, gesägt und entgratet",Sprachindex!$A:$Z,Haftungsausschluß!$O$6,FALSE) &amp; " (" &amp; ROUNDUP(C358/1000*5.62,2) &amp; " " &amp; VLOOKUP("kg/Stk",Sprachindex!$A:$Z,Haftungsausschluß!$O$6,FALSE) &amp; ")" &amp; IF('Kalkulation 1'!$AH$33," " &amp; 'Kalkulation 1'!$R$9,"")</f>
        <v>Dammbalken 50/150 exkl. Dichtung, gesägt und entgratet (0 kg/Stk)</v>
      </c>
      <c r="H358" s="989"/>
      <c r="I358" s="989"/>
      <c r="J358" s="989"/>
      <c r="K358" s="989"/>
      <c r="L358" s="989"/>
      <c r="M358" s="990"/>
      <c r="N358" s="313"/>
      <c r="O358" s="426">
        <f t="shared" si="14"/>
        <v>0</v>
      </c>
      <c r="P358" s="286"/>
    </row>
    <row r="359" spans="2:16" ht="32.1" hidden="1" customHeight="1">
      <c r="B359" s="556"/>
      <c r="C359" s="312">
        <v>0</v>
      </c>
      <c r="D359" s="317">
        <f t="shared" si="13"/>
        <v>0</v>
      </c>
      <c r="E359" s="318" t="str">
        <f>VLOOKUP("[m]",Sprachindex!$A:$Z,Haftungsausschluß!$O$6,FALSE)</f>
        <v>[m]</v>
      </c>
      <c r="F359" s="318" t="str">
        <f>IF($L$14=1,Preisliste!$E$10,Preisliste!$F$10)</f>
        <v>H501000</v>
      </c>
      <c r="G359" s="988" t="str">
        <f>VLOOKUP("Dammbalken 50/150 exkl. Dichtung, gesägt und entgratet",Sprachindex!$A:$Z,Haftungsausschluß!$O$6,FALSE) &amp; " (" &amp; ROUNDUP(C359/1000*5.62,2) &amp; " " &amp; VLOOKUP("kg/Stk",Sprachindex!$A:$Z,Haftungsausschluß!$O$6,FALSE) &amp; ")" &amp; IF('Kalkulation 1'!$AH$33," " &amp; 'Kalkulation 1'!$R$9,"")</f>
        <v>Dammbalken 50/150 exkl. Dichtung, gesägt und entgratet (0 kg/Stk)</v>
      </c>
      <c r="H359" s="989"/>
      <c r="I359" s="989"/>
      <c r="J359" s="989"/>
      <c r="K359" s="989"/>
      <c r="L359" s="989"/>
      <c r="M359" s="990"/>
      <c r="N359" s="313"/>
      <c r="O359" s="426">
        <f t="shared" si="14"/>
        <v>0</v>
      </c>
      <c r="P359" s="286"/>
    </row>
    <row r="360" spans="2:16" ht="32.1" hidden="1" customHeight="1">
      <c r="B360" s="556"/>
      <c r="C360" s="312">
        <v>0</v>
      </c>
      <c r="D360" s="317">
        <f t="shared" si="13"/>
        <v>0</v>
      </c>
      <c r="E360" s="318" t="str">
        <f>VLOOKUP("[m]",Sprachindex!$A:$Z,Haftungsausschluß!$O$6,FALSE)</f>
        <v>[m]</v>
      </c>
      <c r="F360" s="318" t="str">
        <f>IF($L$14=1,Preisliste!$E$10,Preisliste!$F$10)</f>
        <v>H501000</v>
      </c>
      <c r="G360" s="988" t="str">
        <f>VLOOKUP("Dammbalken 50/150 exkl. Dichtung, gesägt und entgratet",Sprachindex!$A:$Z,Haftungsausschluß!$O$6,FALSE) &amp; " (" &amp; ROUNDUP(C360/1000*5.62,2) &amp; " " &amp; VLOOKUP("kg/Stk",Sprachindex!$A:$Z,Haftungsausschluß!$O$6,FALSE) &amp; ")" &amp; IF('Kalkulation 1'!$AH$33," " &amp; 'Kalkulation 1'!$R$9,"")</f>
        <v>Dammbalken 50/150 exkl. Dichtung, gesägt und entgratet (0 kg/Stk)</v>
      </c>
      <c r="H360" s="989"/>
      <c r="I360" s="989"/>
      <c r="J360" s="989"/>
      <c r="K360" s="989"/>
      <c r="L360" s="989"/>
      <c r="M360" s="990"/>
      <c r="N360" s="313"/>
      <c r="O360" s="426">
        <f t="shared" si="14"/>
        <v>0</v>
      </c>
      <c r="P360" s="286"/>
    </row>
    <row r="361" spans="2:16" ht="32.1" hidden="1" customHeight="1">
      <c r="B361" s="556"/>
      <c r="C361" s="312">
        <v>0</v>
      </c>
      <c r="D361" s="317">
        <f t="shared" si="13"/>
        <v>0</v>
      </c>
      <c r="E361" s="318" t="str">
        <f>VLOOKUP("[m]",Sprachindex!$A:$Z,Haftungsausschluß!$O$6,FALSE)</f>
        <v>[m]</v>
      </c>
      <c r="F361" s="318" t="str">
        <f>IF($L$14=1,Preisliste!$E$10,Preisliste!$F$10)</f>
        <v>H501000</v>
      </c>
      <c r="G361" s="988" t="str">
        <f>VLOOKUP("Dammbalken 50/150 exkl. Dichtung, gesägt und entgratet",Sprachindex!$A:$Z,Haftungsausschluß!$O$6,FALSE) &amp; " (" &amp; ROUNDUP(C361/1000*5.62,2) &amp; " " &amp; VLOOKUP("kg/Stk",Sprachindex!$A:$Z,Haftungsausschluß!$O$6,FALSE) &amp; ")" &amp; IF('Kalkulation 1'!$AH$33," " &amp; 'Kalkulation 1'!$R$9,"")</f>
        <v>Dammbalken 50/150 exkl. Dichtung, gesägt und entgratet (0 kg/Stk)</v>
      </c>
      <c r="H361" s="989"/>
      <c r="I361" s="989"/>
      <c r="J361" s="989"/>
      <c r="K361" s="989"/>
      <c r="L361" s="989"/>
      <c r="M361" s="990"/>
      <c r="N361" s="313"/>
      <c r="O361" s="426">
        <f t="shared" si="14"/>
        <v>0</v>
      </c>
      <c r="P361" s="286"/>
    </row>
    <row r="362" spans="2:16" ht="32.1" hidden="1" customHeight="1">
      <c r="B362" s="556"/>
      <c r="C362" s="312">
        <v>0</v>
      </c>
      <c r="D362" s="317">
        <f t="shared" si="13"/>
        <v>0</v>
      </c>
      <c r="E362" s="318" t="str">
        <f>VLOOKUP("[m]",Sprachindex!$A:$Z,Haftungsausschluß!$O$6,FALSE)</f>
        <v>[m]</v>
      </c>
      <c r="F362" s="318" t="str">
        <f>IF($L$14=1,Preisliste!$E$10,Preisliste!$F$10)</f>
        <v>H501000</v>
      </c>
      <c r="G362" s="988" t="str">
        <f>VLOOKUP("Dammbalken 50/150 exkl. Dichtung, gesägt und entgratet",Sprachindex!$A:$Z,Haftungsausschluß!$O$6,FALSE) &amp; " (" &amp; ROUNDUP(C362/1000*5.62,2) &amp; " " &amp; VLOOKUP("kg/Stk",Sprachindex!$A:$Z,Haftungsausschluß!$O$6,FALSE) &amp; ")" &amp; IF('Kalkulation 1'!$AH$33," " &amp; 'Kalkulation 1'!$R$9,"")</f>
        <v>Dammbalken 50/150 exkl. Dichtung, gesägt und entgratet (0 kg/Stk)</v>
      </c>
      <c r="H362" s="989"/>
      <c r="I362" s="989"/>
      <c r="J362" s="989"/>
      <c r="K362" s="989"/>
      <c r="L362" s="989"/>
      <c r="M362" s="990"/>
      <c r="N362" s="313"/>
      <c r="O362" s="426">
        <f t="shared" si="14"/>
        <v>0</v>
      </c>
      <c r="P362" s="286"/>
    </row>
    <row r="363" spans="2:16" ht="32.1" hidden="1" customHeight="1">
      <c r="B363" s="556"/>
      <c r="C363" s="312">
        <v>0</v>
      </c>
      <c r="D363" s="317">
        <f t="shared" si="13"/>
        <v>0</v>
      </c>
      <c r="E363" s="318" t="str">
        <f>VLOOKUP("[m]",Sprachindex!$A:$Z,Haftungsausschluß!$O$6,FALSE)</f>
        <v>[m]</v>
      </c>
      <c r="F363" s="318" t="str">
        <f>IF($L$14=1,Preisliste!$E$10,Preisliste!$F$10)</f>
        <v>H501000</v>
      </c>
      <c r="G363" s="988" t="str">
        <f>VLOOKUP("Dammbalken 50/150 exkl. Dichtung, gesägt und entgratet",Sprachindex!$A:$Z,Haftungsausschluß!$O$6,FALSE) &amp; " (" &amp; ROUNDUP(C363/1000*5.62,2) &amp; " " &amp; VLOOKUP("kg/Stk",Sprachindex!$A:$Z,Haftungsausschluß!$O$6,FALSE) &amp; ")" &amp; IF('Kalkulation 1'!$AH$33," " &amp; 'Kalkulation 1'!$R$9,"")</f>
        <v>Dammbalken 50/150 exkl. Dichtung, gesägt und entgratet (0 kg/Stk)</v>
      </c>
      <c r="H363" s="989"/>
      <c r="I363" s="989"/>
      <c r="J363" s="989"/>
      <c r="K363" s="989"/>
      <c r="L363" s="989"/>
      <c r="M363" s="990"/>
      <c r="N363" s="313"/>
      <c r="O363" s="426">
        <f t="shared" si="14"/>
        <v>0</v>
      </c>
      <c r="P363" s="286"/>
    </row>
    <row r="364" spans="2:16" ht="32.1" hidden="1" customHeight="1">
      <c r="B364" s="556"/>
      <c r="C364" s="312">
        <v>0</v>
      </c>
      <c r="D364" s="317">
        <f t="shared" si="13"/>
        <v>0</v>
      </c>
      <c r="E364" s="318" t="str">
        <f>VLOOKUP("[m]",Sprachindex!$A:$Z,Haftungsausschluß!$O$6,FALSE)</f>
        <v>[m]</v>
      </c>
      <c r="F364" s="318" t="str">
        <f>IF($L$14=1,Preisliste!$E$10,Preisliste!$F$10)</f>
        <v>H501000</v>
      </c>
      <c r="G364" s="988" t="str">
        <f>VLOOKUP("Dammbalken 50/150 exkl. Dichtung, gesägt und entgratet",Sprachindex!$A:$Z,Haftungsausschluß!$O$6,FALSE) &amp; " (" &amp; ROUNDUP(C364/1000*5.62,2) &amp; " " &amp; VLOOKUP("kg/Stk",Sprachindex!$A:$Z,Haftungsausschluß!$O$6,FALSE) &amp; ")" &amp; IF('Kalkulation 1'!$AH$33," " &amp; 'Kalkulation 1'!$R$9,"")</f>
        <v>Dammbalken 50/150 exkl. Dichtung, gesägt und entgratet (0 kg/Stk)</v>
      </c>
      <c r="H364" s="989"/>
      <c r="I364" s="989"/>
      <c r="J364" s="989"/>
      <c r="K364" s="989"/>
      <c r="L364" s="989"/>
      <c r="M364" s="990"/>
      <c r="N364" s="313"/>
      <c r="O364" s="426">
        <f t="shared" si="14"/>
        <v>0</v>
      </c>
      <c r="P364" s="286"/>
    </row>
    <row r="365" spans="2:16" ht="32.1" hidden="1" customHeight="1">
      <c r="B365" s="556"/>
      <c r="C365" s="312">
        <v>0</v>
      </c>
      <c r="D365" s="317">
        <f t="shared" si="13"/>
        <v>0</v>
      </c>
      <c r="E365" s="318" t="str">
        <f>VLOOKUP("[m]",Sprachindex!$A:$Z,Haftungsausschluß!$O$6,FALSE)</f>
        <v>[m]</v>
      </c>
      <c r="F365" s="318" t="str">
        <f>IF($L$14=1,Preisliste!$E$10,Preisliste!$F$10)</f>
        <v>H501000</v>
      </c>
      <c r="G365" s="988" t="str">
        <f>VLOOKUP("Dammbalken 50/150 exkl. Dichtung, gesägt und entgratet",Sprachindex!$A:$Z,Haftungsausschluß!$O$6,FALSE) &amp; " (" &amp; ROUNDUP(C365/1000*5.62,2) &amp; " " &amp; VLOOKUP("kg/Stk",Sprachindex!$A:$Z,Haftungsausschluß!$O$6,FALSE) &amp; ")" &amp; IF('Kalkulation 1'!$AH$33," " &amp; 'Kalkulation 1'!$R$9,"")</f>
        <v>Dammbalken 50/150 exkl. Dichtung, gesägt und entgratet (0 kg/Stk)</v>
      </c>
      <c r="H365" s="989"/>
      <c r="I365" s="989"/>
      <c r="J365" s="989"/>
      <c r="K365" s="989"/>
      <c r="L365" s="989"/>
      <c r="M365" s="990"/>
      <c r="N365" s="313"/>
      <c r="O365" s="426">
        <f t="shared" si="14"/>
        <v>0</v>
      </c>
      <c r="P365" s="286"/>
    </row>
    <row r="366" spans="2:16" ht="32.1" hidden="1" customHeight="1">
      <c r="B366" s="556"/>
      <c r="C366" s="312">
        <v>0</v>
      </c>
      <c r="D366" s="317">
        <f t="shared" si="13"/>
        <v>0</v>
      </c>
      <c r="E366" s="318" t="str">
        <f>VLOOKUP("[m]",Sprachindex!$A:$Z,Haftungsausschluß!$O$6,FALSE)</f>
        <v>[m]</v>
      </c>
      <c r="F366" s="318" t="str">
        <f>IF($L$14=1,Preisliste!$E$10,Preisliste!$F$10)</f>
        <v>H501000</v>
      </c>
      <c r="G366" s="988" t="str">
        <f>VLOOKUP("Dammbalken 50/150 exkl. Dichtung, gesägt und entgratet",Sprachindex!$A:$Z,Haftungsausschluß!$O$6,FALSE) &amp; " (" &amp; ROUNDUP(C366/1000*5.62,2) &amp; " " &amp; VLOOKUP("kg/Stk",Sprachindex!$A:$Z,Haftungsausschluß!$O$6,FALSE) &amp; ")" &amp; IF('Kalkulation 1'!$AH$33," " &amp; 'Kalkulation 1'!$R$9,"")</f>
        <v>Dammbalken 50/150 exkl. Dichtung, gesägt und entgratet (0 kg/Stk)</v>
      </c>
      <c r="H366" s="989"/>
      <c r="I366" s="989"/>
      <c r="J366" s="989"/>
      <c r="K366" s="989"/>
      <c r="L366" s="989"/>
      <c r="M366" s="990"/>
      <c r="N366" s="313"/>
      <c r="O366" s="426">
        <f t="shared" si="14"/>
        <v>0</v>
      </c>
      <c r="P366" s="286"/>
    </row>
    <row r="367" spans="2:16" ht="32.1" hidden="1" customHeight="1">
      <c r="B367" s="556"/>
      <c r="C367" s="312">
        <v>0</v>
      </c>
      <c r="D367" s="317">
        <f t="shared" si="13"/>
        <v>0</v>
      </c>
      <c r="E367" s="318" t="str">
        <f>VLOOKUP("[m]",Sprachindex!$A:$Z,Haftungsausschluß!$O$6,FALSE)</f>
        <v>[m]</v>
      </c>
      <c r="F367" s="318" t="str">
        <f>IF($L$14=1,Preisliste!$E$10,Preisliste!$F$10)</f>
        <v>H501000</v>
      </c>
      <c r="G367" s="988" t="str">
        <f>VLOOKUP("Dammbalken 50/150 exkl. Dichtung, gesägt und entgratet",Sprachindex!$A:$Z,Haftungsausschluß!$O$6,FALSE) &amp; " (" &amp; ROUNDUP(C367/1000*5.62,2) &amp; " " &amp; VLOOKUP("kg/Stk",Sprachindex!$A:$Z,Haftungsausschluß!$O$6,FALSE) &amp; ")" &amp; IF('Kalkulation 1'!$AH$33," " &amp; 'Kalkulation 1'!$R$9,"")</f>
        <v>Dammbalken 50/150 exkl. Dichtung, gesägt und entgratet (0 kg/Stk)</v>
      </c>
      <c r="H367" s="989"/>
      <c r="I367" s="989"/>
      <c r="J367" s="989"/>
      <c r="K367" s="989"/>
      <c r="L367" s="989"/>
      <c r="M367" s="990"/>
      <c r="N367" s="313"/>
      <c r="O367" s="426">
        <f t="shared" si="14"/>
        <v>0</v>
      </c>
      <c r="P367" s="286"/>
    </row>
    <row r="368" spans="2:16" ht="32.1" hidden="1" customHeight="1">
      <c r="B368" s="556"/>
      <c r="C368" s="312">
        <v>0</v>
      </c>
      <c r="D368" s="317">
        <f t="shared" si="13"/>
        <v>0</v>
      </c>
      <c r="E368" s="318" t="str">
        <f>VLOOKUP("[m]",Sprachindex!$A:$Z,Haftungsausschluß!$O$6,FALSE)</f>
        <v>[m]</v>
      </c>
      <c r="F368" s="318" t="str">
        <f>IF($L$14=1,Preisliste!$E$10,Preisliste!$F$10)</f>
        <v>H501000</v>
      </c>
      <c r="G368" s="988" t="str">
        <f>VLOOKUP("Dammbalken 50/150 exkl. Dichtung, gesägt und entgratet",Sprachindex!$A:$Z,Haftungsausschluß!$O$6,FALSE) &amp; " (" &amp; ROUNDUP(C368/1000*5.62,2) &amp; " " &amp; VLOOKUP("kg/Stk",Sprachindex!$A:$Z,Haftungsausschluß!$O$6,FALSE) &amp; ")" &amp; IF('Kalkulation 1'!$AH$33," " &amp; 'Kalkulation 1'!$R$9,"")</f>
        <v>Dammbalken 50/150 exkl. Dichtung, gesägt und entgratet (0 kg/Stk)</v>
      </c>
      <c r="H368" s="989"/>
      <c r="I368" s="989"/>
      <c r="J368" s="989"/>
      <c r="K368" s="989"/>
      <c r="L368" s="989"/>
      <c r="M368" s="990"/>
      <c r="N368" s="313"/>
      <c r="O368" s="426">
        <f t="shared" si="14"/>
        <v>0</v>
      </c>
      <c r="P368" s="286"/>
    </row>
    <row r="369" spans="2:16" ht="32.1" hidden="1" customHeight="1">
      <c r="B369" s="556"/>
      <c r="C369" s="312">
        <v>0</v>
      </c>
      <c r="D369" s="317">
        <f t="shared" si="13"/>
        <v>0</v>
      </c>
      <c r="E369" s="318" t="str">
        <f>VLOOKUP("[m]",Sprachindex!$A:$Z,Haftungsausschluß!$O$6,FALSE)</f>
        <v>[m]</v>
      </c>
      <c r="F369" s="318" t="str">
        <f>IF($L$14=1,Preisliste!$E$10,Preisliste!$F$10)</f>
        <v>H501000</v>
      </c>
      <c r="G369" s="988" t="str">
        <f>VLOOKUP("Dammbalken 50/150 exkl. Dichtung, gesägt und entgratet",Sprachindex!$A:$Z,Haftungsausschluß!$O$6,FALSE) &amp; " (" &amp; ROUNDUP(C369/1000*5.62,2) &amp; " " &amp; VLOOKUP("kg/Stk",Sprachindex!$A:$Z,Haftungsausschluß!$O$6,FALSE) &amp; ")" &amp; IF('Kalkulation 1'!$AH$33," " &amp; 'Kalkulation 1'!$R$9,"")</f>
        <v>Dammbalken 50/150 exkl. Dichtung, gesägt und entgratet (0 kg/Stk)</v>
      </c>
      <c r="H369" s="989"/>
      <c r="I369" s="989"/>
      <c r="J369" s="989"/>
      <c r="K369" s="989"/>
      <c r="L369" s="989"/>
      <c r="M369" s="990"/>
      <c r="N369" s="313"/>
      <c r="O369" s="426">
        <f t="shared" si="14"/>
        <v>0</v>
      </c>
      <c r="P369" s="286"/>
    </row>
    <row r="370" spans="2:16" ht="32.1" hidden="1" customHeight="1">
      <c r="B370" s="556"/>
      <c r="C370" s="312">
        <v>0</v>
      </c>
      <c r="D370" s="317">
        <f t="shared" si="13"/>
        <v>0</v>
      </c>
      <c r="E370" s="318" t="str">
        <f>VLOOKUP("[m]",Sprachindex!$A:$Z,Haftungsausschluß!$O$6,FALSE)</f>
        <v>[m]</v>
      </c>
      <c r="F370" s="318" t="str">
        <f>IF($L$14=1,Preisliste!$E$10,Preisliste!$F$10)</f>
        <v>H501000</v>
      </c>
      <c r="G370" s="988" t="str">
        <f>VLOOKUP("Dammbalken 50/150 exkl. Dichtung, gesägt und entgratet",Sprachindex!$A:$Z,Haftungsausschluß!$O$6,FALSE) &amp; " (" &amp; ROUNDUP(C370/1000*5.62,2) &amp; " " &amp; VLOOKUP("kg/Stk",Sprachindex!$A:$Z,Haftungsausschluß!$O$6,FALSE) &amp; ")" &amp; IF('Kalkulation 1'!$AH$33," " &amp; 'Kalkulation 1'!$R$9,"")</f>
        <v>Dammbalken 50/150 exkl. Dichtung, gesägt und entgratet (0 kg/Stk)</v>
      </c>
      <c r="H370" s="989"/>
      <c r="I370" s="989"/>
      <c r="J370" s="989"/>
      <c r="K370" s="989"/>
      <c r="L370" s="989"/>
      <c r="M370" s="990"/>
      <c r="N370" s="313"/>
      <c r="O370" s="426">
        <f t="shared" si="14"/>
        <v>0</v>
      </c>
      <c r="P370" s="286"/>
    </row>
    <row r="371" spans="2:16" ht="32.1" hidden="1" customHeight="1">
      <c r="B371" s="556"/>
      <c r="C371" s="312">
        <v>0</v>
      </c>
      <c r="D371" s="317">
        <f t="shared" si="13"/>
        <v>0</v>
      </c>
      <c r="E371" s="318" t="str">
        <f>VLOOKUP("[m]",Sprachindex!$A:$Z,Haftungsausschluß!$O$6,FALSE)</f>
        <v>[m]</v>
      </c>
      <c r="F371" s="318" t="str">
        <f>IF($L$14=1,Preisliste!$E$10,Preisliste!$F$10)</f>
        <v>H501000</v>
      </c>
      <c r="G371" s="988" t="str">
        <f>VLOOKUP("Dammbalken 50/150 exkl. Dichtung, gesägt und entgratet",Sprachindex!$A:$Z,Haftungsausschluß!$O$6,FALSE) &amp; " (" &amp; ROUNDUP(C371/1000*5.62,2) &amp; " " &amp; VLOOKUP("kg/Stk",Sprachindex!$A:$Z,Haftungsausschluß!$O$6,FALSE) &amp; ")" &amp; IF('Kalkulation 1'!$AH$33," " &amp; 'Kalkulation 1'!$R$9,"")</f>
        <v>Dammbalken 50/150 exkl. Dichtung, gesägt und entgratet (0 kg/Stk)</v>
      </c>
      <c r="H371" s="989"/>
      <c r="I371" s="989"/>
      <c r="J371" s="989"/>
      <c r="K371" s="989"/>
      <c r="L371" s="989"/>
      <c r="M371" s="990"/>
      <c r="N371" s="313"/>
      <c r="O371" s="426">
        <f t="shared" si="14"/>
        <v>0</v>
      </c>
      <c r="P371" s="286"/>
    </row>
    <row r="372" spans="2:16" ht="32.1" hidden="1" customHeight="1">
      <c r="B372" s="556"/>
      <c r="C372" s="312">
        <v>0</v>
      </c>
      <c r="D372" s="317">
        <f t="shared" si="13"/>
        <v>0</v>
      </c>
      <c r="E372" s="318" t="str">
        <f>VLOOKUP("[m]",Sprachindex!$A:$Z,Haftungsausschluß!$O$6,FALSE)</f>
        <v>[m]</v>
      </c>
      <c r="F372" s="318" t="str">
        <f>IF($L$14=1,Preisliste!$E$10,Preisliste!$F$10)</f>
        <v>H501000</v>
      </c>
      <c r="G372" s="988" t="str">
        <f>VLOOKUP("Dammbalken 50/150 exkl. Dichtung, gesägt und entgratet",Sprachindex!$A:$Z,Haftungsausschluß!$O$6,FALSE) &amp; " (" &amp; ROUNDUP(C372/1000*5.62,2) &amp; " " &amp; VLOOKUP("kg/Stk",Sprachindex!$A:$Z,Haftungsausschluß!$O$6,FALSE) &amp; ")" &amp; IF('Kalkulation 1'!$AH$33," " &amp; 'Kalkulation 1'!$R$9,"")</f>
        <v>Dammbalken 50/150 exkl. Dichtung, gesägt und entgratet (0 kg/Stk)</v>
      </c>
      <c r="H372" s="989"/>
      <c r="I372" s="989"/>
      <c r="J372" s="989"/>
      <c r="K372" s="989"/>
      <c r="L372" s="989"/>
      <c r="M372" s="990"/>
      <c r="N372" s="313"/>
      <c r="O372" s="426">
        <f t="shared" si="14"/>
        <v>0</v>
      </c>
      <c r="P372" s="286"/>
    </row>
    <row r="373" spans="2:16" ht="32.1" hidden="1" customHeight="1">
      <c r="B373" s="556"/>
      <c r="C373" s="312">
        <v>0</v>
      </c>
      <c r="D373" s="317">
        <f t="shared" si="13"/>
        <v>0</v>
      </c>
      <c r="E373" s="318" t="str">
        <f>VLOOKUP("[m]",Sprachindex!$A:$Z,Haftungsausschluß!$O$6,FALSE)</f>
        <v>[m]</v>
      </c>
      <c r="F373" s="318" t="str">
        <f>IF($L$14=1,Preisliste!$E$10,Preisliste!$F$10)</f>
        <v>H501000</v>
      </c>
      <c r="G373" s="988" t="str">
        <f>VLOOKUP("Dammbalken 50/150 exkl. Dichtung, gesägt und entgratet",Sprachindex!$A:$Z,Haftungsausschluß!$O$6,FALSE) &amp; " (" &amp; ROUNDUP(C373/1000*5.62,2) &amp; " " &amp; VLOOKUP("kg/Stk",Sprachindex!$A:$Z,Haftungsausschluß!$O$6,FALSE) &amp; ")" &amp; IF('Kalkulation 1'!$AH$33," " &amp; 'Kalkulation 1'!$R$9,"")</f>
        <v>Dammbalken 50/150 exkl. Dichtung, gesägt und entgratet (0 kg/Stk)</v>
      </c>
      <c r="H373" s="989"/>
      <c r="I373" s="989"/>
      <c r="J373" s="989"/>
      <c r="K373" s="989"/>
      <c r="L373" s="989"/>
      <c r="M373" s="990"/>
      <c r="N373" s="313"/>
      <c r="O373" s="426">
        <f t="shared" si="14"/>
        <v>0</v>
      </c>
      <c r="P373" s="286"/>
    </row>
    <row r="374" spans="2:16" ht="32.1" hidden="1" customHeight="1">
      <c r="B374" s="556"/>
      <c r="C374" s="312">
        <v>0</v>
      </c>
      <c r="D374" s="317">
        <f t="shared" si="13"/>
        <v>0</v>
      </c>
      <c r="E374" s="318" t="str">
        <f>VLOOKUP("[m]",Sprachindex!$A:$Z,Haftungsausschluß!$O$6,FALSE)</f>
        <v>[m]</v>
      </c>
      <c r="F374" s="318" t="str">
        <f>IF($L$14=1,Preisliste!$E$10,Preisliste!$F$10)</f>
        <v>H501000</v>
      </c>
      <c r="G374" s="988" t="str">
        <f>VLOOKUP("Dammbalken 50/150 exkl. Dichtung, gesägt und entgratet",Sprachindex!$A:$Z,Haftungsausschluß!$O$6,FALSE) &amp; " (" &amp; ROUNDUP(C374/1000*5.62,2) &amp; " " &amp; VLOOKUP("kg/Stk",Sprachindex!$A:$Z,Haftungsausschluß!$O$6,FALSE) &amp; ")" &amp; IF('Kalkulation 1'!$AH$33," " &amp; 'Kalkulation 1'!$R$9,"")</f>
        <v>Dammbalken 50/150 exkl. Dichtung, gesägt und entgratet (0 kg/Stk)</v>
      </c>
      <c r="H374" s="989"/>
      <c r="I374" s="989"/>
      <c r="J374" s="989"/>
      <c r="K374" s="989"/>
      <c r="L374" s="989"/>
      <c r="M374" s="990"/>
      <c r="N374" s="313"/>
      <c r="O374" s="426">
        <f t="shared" si="14"/>
        <v>0</v>
      </c>
      <c r="P374" s="286"/>
    </row>
    <row r="375" spans="2:16" ht="32.1" hidden="1" customHeight="1">
      <c r="B375" s="556"/>
      <c r="C375" s="312">
        <v>0</v>
      </c>
      <c r="D375" s="317">
        <f t="shared" si="13"/>
        <v>0</v>
      </c>
      <c r="E375" s="318" t="str">
        <f>VLOOKUP("[m]",Sprachindex!$A:$Z,Haftungsausschluß!$O$6,FALSE)</f>
        <v>[m]</v>
      </c>
      <c r="F375" s="318" t="str">
        <f>IF($L$14=1,Preisliste!$E$10,Preisliste!$F$10)</f>
        <v>H501000</v>
      </c>
      <c r="G375" s="988" t="str">
        <f>VLOOKUP("Dammbalken 50/150 exkl. Dichtung, gesägt und entgratet",Sprachindex!$A:$Z,Haftungsausschluß!$O$6,FALSE) &amp; " (" &amp; ROUNDUP(C375/1000*5.62,2) &amp; " " &amp; VLOOKUP("kg/Stk",Sprachindex!$A:$Z,Haftungsausschluß!$O$6,FALSE) &amp; ")" &amp; IF('Kalkulation 1'!$AH$33," " &amp; 'Kalkulation 1'!$R$9,"")</f>
        <v>Dammbalken 50/150 exkl. Dichtung, gesägt und entgratet (0 kg/Stk)</v>
      </c>
      <c r="H375" s="989"/>
      <c r="I375" s="989"/>
      <c r="J375" s="989"/>
      <c r="K375" s="989"/>
      <c r="L375" s="989"/>
      <c r="M375" s="990"/>
      <c r="N375" s="313"/>
      <c r="O375" s="426">
        <f t="shared" si="14"/>
        <v>0</v>
      </c>
      <c r="P375" s="286"/>
    </row>
    <row r="376" spans="2:16" ht="32.1" hidden="1" customHeight="1">
      <c r="B376" s="556"/>
      <c r="C376" s="312">
        <v>0</v>
      </c>
      <c r="D376" s="317">
        <f t="shared" si="13"/>
        <v>0</v>
      </c>
      <c r="E376" s="318" t="str">
        <f>VLOOKUP("[m]",Sprachindex!$A:$Z,Haftungsausschluß!$O$6,FALSE)</f>
        <v>[m]</v>
      </c>
      <c r="F376" s="318" t="str">
        <f>IF($L$14=1,Preisliste!$E$10,Preisliste!$F$10)</f>
        <v>H501000</v>
      </c>
      <c r="G376" s="988" t="str">
        <f>VLOOKUP("Dammbalken 50/150 exkl. Dichtung, gesägt und entgratet",Sprachindex!$A:$Z,Haftungsausschluß!$O$6,FALSE) &amp; " (" &amp; ROUNDUP(C376/1000*5.62,2) &amp; " " &amp; VLOOKUP("kg/Stk",Sprachindex!$A:$Z,Haftungsausschluß!$O$6,FALSE) &amp; ")" &amp; IF('Kalkulation 1'!$AH$33," " &amp; 'Kalkulation 1'!$R$9,"")</f>
        <v>Dammbalken 50/150 exkl. Dichtung, gesägt und entgratet (0 kg/Stk)</v>
      </c>
      <c r="H376" s="989"/>
      <c r="I376" s="989"/>
      <c r="J376" s="989"/>
      <c r="K376" s="989"/>
      <c r="L376" s="989"/>
      <c r="M376" s="990"/>
      <c r="N376" s="313"/>
      <c r="O376" s="426">
        <f t="shared" si="14"/>
        <v>0</v>
      </c>
      <c r="P376" s="286"/>
    </row>
    <row r="377" spans="2:16" ht="32.1" hidden="1" customHeight="1">
      <c r="B377" s="556"/>
      <c r="C377" s="312">
        <v>0</v>
      </c>
      <c r="D377" s="317">
        <f t="shared" si="13"/>
        <v>0</v>
      </c>
      <c r="E377" s="318" t="str">
        <f>VLOOKUP("[m]",Sprachindex!$A:$Z,Haftungsausschluß!$O$6,FALSE)</f>
        <v>[m]</v>
      </c>
      <c r="F377" s="318" t="str">
        <f>IF($L$14=1,Preisliste!$E$10,Preisliste!$F$10)</f>
        <v>H501000</v>
      </c>
      <c r="G377" s="988" t="str">
        <f>VLOOKUP("Dammbalken 50/150 exkl. Dichtung, gesägt und entgratet",Sprachindex!$A:$Z,Haftungsausschluß!$O$6,FALSE) &amp; " (" &amp; ROUNDUP(C377/1000*5.62,2) &amp; " " &amp; VLOOKUP("kg/Stk",Sprachindex!$A:$Z,Haftungsausschluß!$O$6,FALSE) &amp; ")" &amp; IF('Kalkulation 1'!$AH$33," " &amp; 'Kalkulation 1'!$R$9,"")</f>
        <v>Dammbalken 50/150 exkl. Dichtung, gesägt und entgratet (0 kg/Stk)</v>
      </c>
      <c r="H377" s="989"/>
      <c r="I377" s="989"/>
      <c r="J377" s="989"/>
      <c r="K377" s="989"/>
      <c r="L377" s="989"/>
      <c r="M377" s="990"/>
      <c r="N377" s="313"/>
      <c r="O377" s="426">
        <f t="shared" si="14"/>
        <v>0</v>
      </c>
      <c r="P377" s="286"/>
    </row>
    <row r="378" spans="2:16" ht="32.1" hidden="1" customHeight="1">
      <c r="B378" s="556"/>
      <c r="C378" s="312">
        <v>0</v>
      </c>
      <c r="D378" s="317">
        <f t="shared" si="13"/>
        <v>0</v>
      </c>
      <c r="E378" s="318" t="str">
        <f>VLOOKUP("[m]",Sprachindex!$A:$Z,Haftungsausschluß!$O$6,FALSE)</f>
        <v>[m]</v>
      </c>
      <c r="F378" s="318" t="str">
        <f>IF($L$14=1,Preisliste!$E$10,Preisliste!$F$10)</f>
        <v>H501000</v>
      </c>
      <c r="G378" s="988" t="str">
        <f>VLOOKUP("Dammbalken 50/150 exkl. Dichtung, gesägt und entgratet",Sprachindex!$A:$Z,Haftungsausschluß!$O$6,FALSE) &amp; " (" &amp; ROUNDUP(C378/1000*5.62,2) &amp; " " &amp; VLOOKUP("kg/Stk",Sprachindex!$A:$Z,Haftungsausschluß!$O$6,FALSE) &amp; ")" &amp; IF('Kalkulation 1'!$AH$33," " &amp; 'Kalkulation 1'!$R$9,"")</f>
        <v>Dammbalken 50/150 exkl. Dichtung, gesägt und entgratet (0 kg/Stk)</v>
      </c>
      <c r="H378" s="989"/>
      <c r="I378" s="989"/>
      <c r="J378" s="989"/>
      <c r="K378" s="989"/>
      <c r="L378" s="989"/>
      <c r="M378" s="990"/>
      <c r="N378" s="313"/>
      <c r="O378" s="426">
        <f t="shared" si="14"/>
        <v>0</v>
      </c>
      <c r="P378" s="286"/>
    </row>
    <row r="379" spans="2:16" ht="32.1" hidden="1" customHeight="1">
      <c r="B379" s="556"/>
      <c r="C379" s="312">
        <v>0</v>
      </c>
      <c r="D379" s="317">
        <f t="shared" si="13"/>
        <v>0</v>
      </c>
      <c r="E379" s="318" t="str">
        <f>VLOOKUP("[m]",Sprachindex!$A:$Z,Haftungsausschluß!$O$6,FALSE)</f>
        <v>[m]</v>
      </c>
      <c r="F379" s="318" t="str">
        <f>IF($L$14=1,Preisliste!$E$10,Preisliste!$F$10)</f>
        <v>H501000</v>
      </c>
      <c r="G379" s="988" t="str">
        <f>VLOOKUP("Dammbalken 50/150 exkl. Dichtung, gesägt und entgratet",Sprachindex!$A:$Z,Haftungsausschluß!$O$6,FALSE) &amp; " (" &amp; ROUNDUP(C379/1000*5.62,2) &amp; " " &amp; VLOOKUP("kg/Stk",Sprachindex!$A:$Z,Haftungsausschluß!$O$6,FALSE) &amp; ")" &amp; IF('Kalkulation 1'!$AH$33," " &amp; 'Kalkulation 1'!$R$9,"")</f>
        <v>Dammbalken 50/150 exkl. Dichtung, gesägt und entgratet (0 kg/Stk)</v>
      </c>
      <c r="H379" s="989"/>
      <c r="I379" s="989"/>
      <c r="J379" s="989"/>
      <c r="K379" s="989"/>
      <c r="L379" s="989"/>
      <c r="M379" s="990"/>
      <c r="N379" s="313"/>
      <c r="O379" s="426">
        <f t="shared" si="14"/>
        <v>0</v>
      </c>
      <c r="P379" s="286"/>
    </row>
    <row r="380" spans="2:16" ht="32.1" hidden="1" customHeight="1">
      <c r="B380" s="556"/>
      <c r="C380" s="312">
        <v>0</v>
      </c>
      <c r="D380" s="317">
        <f t="shared" si="13"/>
        <v>0</v>
      </c>
      <c r="E380" s="318" t="str">
        <f>VLOOKUP("[m]",Sprachindex!$A:$Z,Haftungsausschluß!$O$6,FALSE)</f>
        <v>[m]</v>
      </c>
      <c r="F380" s="318" t="str">
        <f>IF($L$14=1,Preisliste!$E$10,Preisliste!$F$10)</f>
        <v>H501000</v>
      </c>
      <c r="G380" s="988" t="str">
        <f>VLOOKUP("Dammbalken 50/150 exkl. Dichtung, gesägt und entgratet",Sprachindex!$A:$Z,Haftungsausschluß!$O$6,FALSE) &amp; " (" &amp; ROUNDUP(C380/1000*5.62,2) &amp; " " &amp; VLOOKUP("kg/Stk",Sprachindex!$A:$Z,Haftungsausschluß!$O$6,FALSE) &amp; ")" &amp; IF('Kalkulation 1'!$AH$33," " &amp; 'Kalkulation 1'!$R$9,"")</f>
        <v>Dammbalken 50/150 exkl. Dichtung, gesägt und entgratet (0 kg/Stk)</v>
      </c>
      <c r="H380" s="989"/>
      <c r="I380" s="989"/>
      <c r="J380" s="989"/>
      <c r="K380" s="989"/>
      <c r="L380" s="989"/>
      <c r="M380" s="990"/>
      <c r="N380" s="313"/>
      <c r="O380" s="426">
        <f t="shared" si="14"/>
        <v>0</v>
      </c>
      <c r="P380" s="286"/>
    </row>
    <row r="381" spans="2:16" ht="32.1" hidden="1" customHeight="1">
      <c r="B381" s="556"/>
      <c r="C381" s="312">
        <v>0</v>
      </c>
      <c r="D381" s="317">
        <f t="shared" si="13"/>
        <v>0</v>
      </c>
      <c r="E381" s="318" t="str">
        <f>VLOOKUP("[m]",Sprachindex!$A:$Z,Haftungsausschluß!$O$6,FALSE)</f>
        <v>[m]</v>
      </c>
      <c r="F381" s="318" t="str">
        <f>IF($L$14=1,Preisliste!$E$10,Preisliste!$F$10)</f>
        <v>H501000</v>
      </c>
      <c r="G381" s="988" t="str">
        <f>VLOOKUP("Dammbalken 50/150 exkl. Dichtung, gesägt und entgratet",Sprachindex!$A:$Z,Haftungsausschluß!$O$6,FALSE) &amp; " (" &amp; ROUNDUP(C381/1000*5.62,2) &amp; " " &amp; VLOOKUP("kg/Stk",Sprachindex!$A:$Z,Haftungsausschluß!$O$6,FALSE) &amp; ")" &amp; IF('Kalkulation 1'!$AH$33," " &amp; 'Kalkulation 1'!$R$9,"")</f>
        <v>Dammbalken 50/150 exkl. Dichtung, gesägt und entgratet (0 kg/Stk)</v>
      </c>
      <c r="H381" s="989"/>
      <c r="I381" s="989"/>
      <c r="J381" s="989"/>
      <c r="K381" s="989"/>
      <c r="L381" s="989"/>
      <c r="M381" s="990"/>
      <c r="N381" s="313"/>
      <c r="O381" s="426">
        <f t="shared" si="14"/>
        <v>0</v>
      </c>
      <c r="P381" s="286"/>
    </row>
    <row r="382" spans="2:16" ht="32.1" hidden="1" customHeight="1">
      <c r="B382" s="556"/>
      <c r="C382" s="312">
        <v>0</v>
      </c>
      <c r="D382" s="317">
        <f t="shared" si="13"/>
        <v>0</v>
      </c>
      <c r="E382" s="318" t="str">
        <f>VLOOKUP("[m]",Sprachindex!$A:$Z,Haftungsausschluß!$O$6,FALSE)</f>
        <v>[m]</v>
      </c>
      <c r="F382" s="318" t="str">
        <f>IF($L$14=1,Preisliste!$E$10,Preisliste!$F$10)</f>
        <v>H501000</v>
      </c>
      <c r="G382" s="988" t="str">
        <f>VLOOKUP("Dammbalken 50/150 exkl. Dichtung, gesägt und entgratet",Sprachindex!$A:$Z,Haftungsausschluß!$O$6,FALSE) &amp; " (" &amp; ROUNDUP(C382/1000*5.62,2) &amp; " " &amp; VLOOKUP("kg/Stk",Sprachindex!$A:$Z,Haftungsausschluß!$O$6,FALSE) &amp; ")" &amp; IF('Kalkulation 1'!$AH$33," " &amp; 'Kalkulation 1'!$R$9,"")</f>
        <v>Dammbalken 50/150 exkl. Dichtung, gesägt und entgratet (0 kg/Stk)</v>
      </c>
      <c r="H382" s="989"/>
      <c r="I382" s="989"/>
      <c r="J382" s="989"/>
      <c r="K382" s="989"/>
      <c r="L382" s="989"/>
      <c r="M382" s="990"/>
      <c r="N382" s="313"/>
      <c r="O382" s="426">
        <f t="shared" si="14"/>
        <v>0</v>
      </c>
      <c r="P382" s="286"/>
    </row>
    <row r="383" spans="2:16" ht="32.1" hidden="1" customHeight="1">
      <c r="B383" s="556"/>
      <c r="C383" s="312">
        <v>0</v>
      </c>
      <c r="D383" s="317">
        <f t="shared" si="13"/>
        <v>0</v>
      </c>
      <c r="E383" s="318" t="str">
        <f>VLOOKUP("[m]",Sprachindex!$A:$Z,Haftungsausschluß!$O$6,FALSE)</f>
        <v>[m]</v>
      </c>
      <c r="F383" s="318" t="str">
        <f>IF($L$14=1,Preisliste!$E$10,Preisliste!$F$10)</f>
        <v>H501000</v>
      </c>
      <c r="G383" s="988" t="str">
        <f>VLOOKUP("Dammbalken 50/150 exkl. Dichtung, gesägt und entgratet",Sprachindex!$A:$Z,Haftungsausschluß!$O$6,FALSE) &amp; " (" &amp; ROUNDUP(C383/1000*5.62,2) &amp; " " &amp; VLOOKUP("kg/Stk",Sprachindex!$A:$Z,Haftungsausschluß!$O$6,FALSE) &amp; ")" &amp; IF('Kalkulation 1'!$AH$33," " &amp; 'Kalkulation 1'!$R$9,"")</f>
        <v>Dammbalken 50/150 exkl. Dichtung, gesägt und entgratet (0 kg/Stk)</v>
      </c>
      <c r="H383" s="989"/>
      <c r="I383" s="989"/>
      <c r="J383" s="989"/>
      <c r="K383" s="989"/>
      <c r="L383" s="989"/>
      <c r="M383" s="990"/>
      <c r="N383" s="313"/>
      <c r="O383" s="426">
        <f t="shared" si="14"/>
        <v>0</v>
      </c>
      <c r="P383" s="286"/>
    </row>
    <row r="384" spans="2:16" ht="32.1" hidden="1" customHeight="1">
      <c r="B384" s="556"/>
      <c r="C384" s="312">
        <v>0</v>
      </c>
      <c r="D384" s="317">
        <f t="shared" si="13"/>
        <v>0</v>
      </c>
      <c r="E384" s="318" t="str">
        <f>VLOOKUP("[m]",Sprachindex!$A:$Z,Haftungsausschluß!$O$6,FALSE)</f>
        <v>[m]</v>
      </c>
      <c r="F384" s="318" t="str">
        <f>IF($L$14=1,Preisliste!$E$10,Preisliste!$F$10)</f>
        <v>H501000</v>
      </c>
      <c r="G384" s="988" t="str">
        <f>VLOOKUP("Dammbalken 50/150 exkl. Dichtung, gesägt und entgratet",Sprachindex!$A:$Z,Haftungsausschluß!$O$6,FALSE) &amp; " (" &amp; ROUNDUP(C384/1000*5.62,2) &amp; " " &amp; VLOOKUP("kg/Stk",Sprachindex!$A:$Z,Haftungsausschluß!$O$6,FALSE) &amp; ")" &amp; IF('Kalkulation 1'!$AH$33," " &amp; 'Kalkulation 1'!$R$9,"")</f>
        <v>Dammbalken 50/150 exkl. Dichtung, gesägt und entgratet (0 kg/Stk)</v>
      </c>
      <c r="H384" s="989"/>
      <c r="I384" s="989"/>
      <c r="J384" s="989"/>
      <c r="K384" s="989"/>
      <c r="L384" s="989"/>
      <c r="M384" s="990"/>
      <c r="N384" s="313"/>
      <c r="O384" s="426">
        <f t="shared" si="14"/>
        <v>0</v>
      </c>
      <c r="P384" s="286"/>
    </row>
    <row r="385" spans="2:16" ht="32.1" hidden="1" customHeight="1">
      <c r="B385" s="556"/>
      <c r="C385" s="312">
        <v>0</v>
      </c>
      <c r="D385" s="317">
        <f t="shared" si="13"/>
        <v>0</v>
      </c>
      <c r="E385" s="318" t="str">
        <f>VLOOKUP("[m]",Sprachindex!$A:$Z,Haftungsausschluß!$O$6,FALSE)</f>
        <v>[m]</v>
      </c>
      <c r="F385" s="318" t="str">
        <f>IF($L$14=1,Preisliste!$E$10,Preisliste!$F$10)</f>
        <v>H501000</v>
      </c>
      <c r="G385" s="988" t="str">
        <f>VLOOKUP("Dammbalken 50/150 exkl. Dichtung, gesägt und entgratet",Sprachindex!$A:$Z,Haftungsausschluß!$O$6,FALSE) &amp; " (" &amp; ROUNDUP(C385/1000*5.62,2) &amp; " " &amp; VLOOKUP("kg/Stk",Sprachindex!$A:$Z,Haftungsausschluß!$O$6,FALSE) &amp; ")" &amp; IF('Kalkulation 1'!$AH$33," " &amp; 'Kalkulation 1'!$R$9,"")</f>
        <v>Dammbalken 50/150 exkl. Dichtung, gesägt und entgratet (0 kg/Stk)</v>
      </c>
      <c r="H385" s="989"/>
      <c r="I385" s="989"/>
      <c r="J385" s="989"/>
      <c r="K385" s="989"/>
      <c r="L385" s="989"/>
      <c r="M385" s="990"/>
      <c r="N385" s="313"/>
      <c r="O385" s="426">
        <f t="shared" si="14"/>
        <v>0</v>
      </c>
      <c r="P385" s="286"/>
    </row>
    <row r="386" spans="2:16" ht="32.1" hidden="1" customHeight="1">
      <c r="B386" s="556"/>
      <c r="C386" s="312">
        <v>0</v>
      </c>
      <c r="D386" s="317">
        <f t="shared" si="13"/>
        <v>0</v>
      </c>
      <c r="E386" s="318" t="str">
        <f>VLOOKUP("[m]",Sprachindex!$A:$Z,Haftungsausschluß!$O$6,FALSE)</f>
        <v>[m]</v>
      </c>
      <c r="F386" s="318" t="str">
        <f>IF($L$14=1,Preisliste!$E$10,Preisliste!$F$10)</f>
        <v>H501000</v>
      </c>
      <c r="G386" s="988" t="str">
        <f>VLOOKUP("Dammbalken 50/150 exkl. Dichtung, gesägt und entgratet",Sprachindex!$A:$Z,Haftungsausschluß!$O$6,FALSE) &amp; " (" &amp; ROUNDUP(C386/1000*5.62,2) &amp; " " &amp; VLOOKUP("kg/Stk",Sprachindex!$A:$Z,Haftungsausschluß!$O$6,FALSE) &amp; ")" &amp; IF('Kalkulation 1'!$AH$33," " &amp; 'Kalkulation 1'!$R$9,"")</f>
        <v>Dammbalken 50/150 exkl. Dichtung, gesägt und entgratet (0 kg/Stk)</v>
      </c>
      <c r="H386" s="989"/>
      <c r="I386" s="989"/>
      <c r="J386" s="989"/>
      <c r="K386" s="989"/>
      <c r="L386" s="989"/>
      <c r="M386" s="990"/>
      <c r="N386" s="313"/>
      <c r="O386" s="426">
        <f t="shared" si="14"/>
        <v>0</v>
      </c>
      <c r="P386" s="286"/>
    </row>
    <row r="387" spans="2:16" ht="32.1" hidden="1" customHeight="1">
      <c r="B387" s="556"/>
      <c r="C387" s="312">
        <v>0</v>
      </c>
      <c r="D387" s="317">
        <f t="shared" si="13"/>
        <v>0</v>
      </c>
      <c r="E387" s="318" t="str">
        <f>VLOOKUP("[m]",Sprachindex!$A:$Z,Haftungsausschluß!$O$6,FALSE)</f>
        <v>[m]</v>
      </c>
      <c r="F387" s="318" t="str">
        <f>IF($L$14=1,Preisliste!$E$10,Preisliste!$F$10)</f>
        <v>H501000</v>
      </c>
      <c r="G387" s="988" t="str">
        <f>VLOOKUP("Dammbalken 50/150 exkl. Dichtung, gesägt und entgratet",Sprachindex!$A:$Z,Haftungsausschluß!$O$6,FALSE) &amp; " (" &amp; ROUNDUP(C387/1000*5.62,2) &amp; " " &amp; VLOOKUP("kg/Stk",Sprachindex!$A:$Z,Haftungsausschluß!$O$6,FALSE) &amp; ")" &amp; IF('Kalkulation 1'!$AH$33," " &amp; 'Kalkulation 1'!$R$9,"")</f>
        <v>Dammbalken 50/150 exkl. Dichtung, gesägt und entgratet (0 kg/Stk)</v>
      </c>
      <c r="H387" s="989"/>
      <c r="I387" s="989"/>
      <c r="J387" s="989"/>
      <c r="K387" s="989"/>
      <c r="L387" s="989"/>
      <c r="M387" s="990"/>
      <c r="N387" s="313"/>
      <c r="O387" s="426">
        <f t="shared" si="14"/>
        <v>0</v>
      </c>
      <c r="P387" s="286"/>
    </row>
    <row r="388" spans="2:16" ht="32.1" hidden="1" customHeight="1">
      <c r="B388" s="556"/>
      <c r="C388" s="312">
        <v>0</v>
      </c>
      <c r="D388" s="317">
        <f t="shared" si="13"/>
        <v>0</v>
      </c>
      <c r="E388" s="318" t="str">
        <f>VLOOKUP("[m]",Sprachindex!$A:$Z,Haftungsausschluß!$O$6,FALSE)</f>
        <v>[m]</v>
      </c>
      <c r="F388" s="318" t="str">
        <f>IF($L$14=1,Preisliste!$E$10,Preisliste!$F$10)</f>
        <v>H501000</v>
      </c>
      <c r="G388" s="988" t="str">
        <f>VLOOKUP("Dammbalken 50/150 exkl. Dichtung, gesägt und entgratet",Sprachindex!$A:$Z,Haftungsausschluß!$O$6,FALSE) &amp; " (" &amp; ROUNDUP(C388/1000*5.62,2) &amp; " " &amp; VLOOKUP("kg/Stk",Sprachindex!$A:$Z,Haftungsausschluß!$O$6,FALSE) &amp; ")" &amp; IF('Kalkulation 1'!$AH$33," " &amp; 'Kalkulation 1'!$R$9,"")</f>
        <v>Dammbalken 50/150 exkl. Dichtung, gesägt und entgratet (0 kg/Stk)</v>
      </c>
      <c r="H388" s="989"/>
      <c r="I388" s="989"/>
      <c r="J388" s="989"/>
      <c r="K388" s="989"/>
      <c r="L388" s="989"/>
      <c r="M388" s="990"/>
      <c r="N388" s="313"/>
      <c r="O388" s="426">
        <f t="shared" si="14"/>
        <v>0</v>
      </c>
      <c r="P388" s="286"/>
    </row>
    <row r="389" spans="2:16" ht="32.1" hidden="1" customHeight="1">
      <c r="B389" s="556"/>
      <c r="C389" s="312">
        <v>0</v>
      </c>
      <c r="D389" s="317">
        <f t="shared" si="13"/>
        <v>0</v>
      </c>
      <c r="E389" s="318" t="str">
        <f>VLOOKUP("[m]",Sprachindex!$A:$Z,Haftungsausschluß!$O$6,FALSE)</f>
        <v>[m]</v>
      </c>
      <c r="F389" s="318" t="str">
        <f>IF($L$14=1,Preisliste!$E$10,Preisliste!$F$10)</f>
        <v>H501000</v>
      </c>
      <c r="G389" s="988" t="str">
        <f>VLOOKUP("Dammbalken 50/150 exkl. Dichtung, gesägt und entgratet",Sprachindex!$A:$Z,Haftungsausschluß!$O$6,FALSE) &amp; " (" &amp; ROUNDUP(C389/1000*5.62,2) &amp; " " &amp; VLOOKUP("kg/Stk",Sprachindex!$A:$Z,Haftungsausschluß!$O$6,FALSE) &amp; ")" &amp; IF('Kalkulation 1'!$AH$33," " &amp; 'Kalkulation 1'!$R$9,"")</f>
        <v>Dammbalken 50/150 exkl. Dichtung, gesägt und entgratet (0 kg/Stk)</v>
      </c>
      <c r="H389" s="989"/>
      <c r="I389" s="989"/>
      <c r="J389" s="989"/>
      <c r="K389" s="989"/>
      <c r="L389" s="989"/>
      <c r="M389" s="990"/>
      <c r="N389" s="313"/>
      <c r="O389" s="426">
        <f t="shared" si="14"/>
        <v>0</v>
      </c>
      <c r="P389" s="286"/>
    </row>
    <row r="390" spans="2:16" ht="32.1" hidden="1" customHeight="1">
      <c r="B390" s="556"/>
      <c r="C390" s="312">
        <v>0</v>
      </c>
      <c r="D390" s="317">
        <f t="shared" si="13"/>
        <v>0</v>
      </c>
      <c r="E390" s="318" t="str">
        <f>VLOOKUP("[m]",Sprachindex!$A:$Z,Haftungsausschluß!$O$6,FALSE)</f>
        <v>[m]</v>
      </c>
      <c r="F390" s="318" t="str">
        <f>IF($L$14=1,Preisliste!$E$10,Preisliste!$F$10)</f>
        <v>H501000</v>
      </c>
      <c r="G390" s="988" t="str">
        <f>VLOOKUP("Dammbalken 50/150 exkl. Dichtung, gesägt und entgratet",Sprachindex!$A:$Z,Haftungsausschluß!$O$6,FALSE) &amp; " (" &amp; ROUNDUP(C390/1000*5.62,2) &amp; " " &amp; VLOOKUP("kg/Stk",Sprachindex!$A:$Z,Haftungsausschluß!$O$6,FALSE) &amp; ")" &amp; IF('Kalkulation 1'!$AH$33," " &amp; 'Kalkulation 1'!$R$9,"")</f>
        <v>Dammbalken 50/150 exkl. Dichtung, gesägt und entgratet (0 kg/Stk)</v>
      </c>
      <c r="H390" s="989"/>
      <c r="I390" s="989"/>
      <c r="J390" s="989"/>
      <c r="K390" s="989"/>
      <c r="L390" s="989"/>
      <c r="M390" s="990"/>
      <c r="N390" s="313"/>
      <c r="O390" s="426">
        <f t="shared" si="14"/>
        <v>0</v>
      </c>
      <c r="P390" s="286"/>
    </row>
    <row r="391" spans="2:16" ht="32.1" hidden="1" customHeight="1">
      <c r="B391" s="556"/>
      <c r="C391" s="312">
        <v>0</v>
      </c>
      <c r="D391" s="317">
        <f t="shared" si="13"/>
        <v>0</v>
      </c>
      <c r="E391" s="318" t="str">
        <f>VLOOKUP("[m]",Sprachindex!$A:$Z,Haftungsausschluß!$O$6,FALSE)</f>
        <v>[m]</v>
      </c>
      <c r="F391" s="318" t="str">
        <f>IF($L$14=1,Preisliste!$E$10,Preisliste!$F$10)</f>
        <v>H501000</v>
      </c>
      <c r="G391" s="988" t="str">
        <f>VLOOKUP("Dammbalken 50/150 exkl. Dichtung, gesägt und entgratet",Sprachindex!$A:$Z,Haftungsausschluß!$O$6,FALSE) &amp; " (" &amp; ROUNDUP(C391/1000*5.62,2) &amp; " " &amp; VLOOKUP("kg/Stk",Sprachindex!$A:$Z,Haftungsausschluß!$O$6,FALSE) &amp; ")" &amp; IF('Kalkulation 1'!$AH$33," " &amp; 'Kalkulation 1'!$R$9,"")</f>
        <v>Dammbalken 50/150 exkl. Dichtung, gesägt und entgratet (0 kg/Stk)</v>
      </c>
      <c r="H391" s="989"/>
      <c r="I391" s="989"/>
      <c r="J391" s="989"/>
      <c r="K391" s="989"/>
      <c r="L391" s="989"/>
      <c r="M391" s="990"/>
      <c r="N391" s="313"/>
      <c r="O391" s="426">
        <f t="shared" si="14"/>
        <v>0</v>
      </c>
      <c r="P391" s="286"/>
    </row>
    <row r="392" spans="2:16" ht="32.1" hidden="1" customHeight="1">
      <c r="B392" s="556"/>
      <c r="C392" s="312">
        <v>0</v>
      </c>
      <c r="D392" s="317">
        <f t="shared" si="13"/>
        <v>0</v>
      </c>
      <c r="E392" s="318" t="str">
        <f>VLOOKUP("[m]",Sprachindex!$A:$Z,Haftungsausschluß!$O$6,FALSE)</f>
        <v>[m]</v>
      </c>
      <c r="F392" s="318" t="str">
        <f>IF($L$14=1,Preisliste!$E$10,Preisliste!$F$10)</f>
        <v>H501000</v>
      </c>
      <c r="G392" s="988" t="str">
        <f>VLOOKUP("Dammbalken 50/150 exkl. Dichtung, gesägt und entgratet",Sprachindex!$A:$Z,Haftungsausschluß!$O$6,FALSE) &amp; " (" &amp; ROUNDUP(C392/1000*5.62,2) &amp; " " &amp; VLOOKUP("kg/Stk",Sprachindex!$A:$Z,Haftungsausschluß!$O$6,FALSE) &amp; ")" &amp; IF('Kalkulation 1'!$AH$33," " &amp; 'Kalkulation 1'!$R$9,"")</f>
        <v>Dammbalken 50/150 exkl. Dichtung, gesägt und entgratet (0 kg/Stk)</v>
      </c>
      <c r="H392" s="989"/>
      <c r="I392" s="989"/>
      <c r="J392" s="989"/>
      <c r="K392" s="989"/>
      <c r="L392" s="989"/>
      <c r="M392" s="990"/>
      <c r="N392" s="313"/>
      <c r="O392" s="426">
        <f t="shared" si="14"/>
        <v>0</v>
      </c>
      <c r="P392" s="286"/>
    </row>
    <row r="393" spans="2:16" ht="32.1" hidden="1" customHeight="1">
      <c r="B393" s="556"/>
      <c r="C393" s="312">
        <v>0</v>
      </c>
      <c r="D393" s="317">
        <f t="shared" si="13"/>
        <v>0</v>
      </c>
      <c r="E393" s="318" t="str">
        <f>VLOOKUP("[m]",Sprachindex!$A:$Z,Haftungsausschluß!$O$6,FALSE)</f>
        <v>[m]</v>
      </c>
      <c r="F393" s="318" t="str">
        <f>IF($L$14=1,Preisliste!$E$10,Preisliste!$F$10)</f>
        <v>H501000</v>
      </c>
      <c r="G393" s="988" t="str">
        <f>VLOOKUP("Dammbalken 50/150 exkl. Dichtung, gesägt und entgratet",Sprachindex!$A:$Z,Haftungsausschluß!$O$6,FALSE) &amp; " (" &amp; ROUNDUP(C393/1000*5.62,2) &amp; " " &amp; VLOOKUP("kg/Stk",Sprachindex!$A:$Z,Haftungsausschluß!$O$6,FALSE) &amp; ")" &amp; IF('Kalkulation 1'!$AH$33," " &amp; 'Kalkulation 1'!$R$9,"")</f>
        <v>Dammbalken 50/150 exkl. Dichtung, gesägt und entgratet (0 kg/Stk)</v>
      </c>
      <c r="H393" s="989"/>
      <c r="I393" s="989"/>
      <c r="J393" s="989"/>
      <c r="K393" s="989"/>
      <c r="L393" s="989"/>
      <c r="M393" s="990"/>
      <c r="N393" s="313"/>
      <c r="O393" s="426">
        <f t="shared" si="14"/>
        <v>0</v>
      </c>
      <c r="P393" s="286"/>
    </row>
    <row r="394" spans="2:16" ht="32.1" hidden="1" customHeight="1">
      <c r="B394" s="556"/>
      <c r="C394" s="312">
        <v>0</v>
      </c>
      <c r="D394" s="317">
        <f t="shared" si="13"/>
        <v>0</v>
      </c>
      <c r="E394" s="318" t="str">
        <f>VLOOKUP("[m]",Sprachindex!$A:$Z,Haftungsausschluß!$O$6,FALSE)</f>
        <v>[m]</v>
      </c>
      <c r="F394" s="318" t="str">
        <f>IF($L$14=1,Preisliste!$E$10,Preisliste!$F$10)</f>
        <v>H501000</v>
      </c>
      <c r="G394" s="988" t="str">
        <f>VLOOKUP("Dammbalken 50/150 exkl. Dichtung, gesägt und entgratet",Sprachindex!$A:$Z,Haftungsausschluß!$O$6,FALSE) &amp; " (" &amp; ROUNDUP(C394/1000*5.62,2) &amp; " " &amp; VLOOKUP("kg/Stk",Sprachindex!$A:$Z,Haftungsausschluß!$O$6,FALSE) &amp; ")" &amp; IF('Kalkulation 1'!$AH$33," " &amp; 'Kalkulation 1'!$R$9,"")</f>
        <v>Dammbalken 50/150 exkl. Dichtung, gesägt und entgratet (0 kg/Stk)</v>
      </c>
      <c r="H394" s="989"/>
      <c r="I394" s="989"/>
      <c r="J394" s="989"/>
      <c r="K394" s="989"/>
      <c r="L394" s="989"/>
      <c r="M394" s="990"/>
      <c r="N394" s="313"/>
      <c r="O394" s="426">
        <f t="shared" si="14"/>
        <v>0</v>
      </c>
      <c r="P394" s="286"/>
    </row>
    <row r="395" spans="2:16" ht="32.1" hidden="1" customHeight="1">
      <c r="B395" s="556"/>
      <c r="C395" s="312">
        <v>0</v>
      </c>
      <c r="D395" s="317">
        <f t="shared" si="13"/>
        <v>0</v>
      </c>
      <c r="E395" s="318" t="str">
        <f>VLOOKUP("[m]",Sprachindex!$A:$Z,Haftungsausschluß!$O$6,FALSE)</f>
        <v>[m]</v>
      </c>
      <c r="F395" s="318" t="str">
        <f>IF($L$14=1,Preisliste!$E$10,Preisliste!$F$10)</f>
        <v>H501000</v>
      </c>
      <c r="G395" s="988" t="str">
        <f>VLOOKUP("Dammbalken 50/150 exkl. Dichtung, gesägt und entgratet",Sprachindex!$A:$Z,Haftungsausschluß!$O$6,FALSE) &amp; " (" &amp; ROUNDUP(C395/1000*5.62,2) &amp; " " &amp; VLOOKUP("kg/Stk",Sprachindex!$A:$Z,Haftungsausschluß!$O$6,FALSE) &amp; ")" &amp; IF('Kalkulation 1'!$AH$33," " &amp; 'Kalkulation 1'!$R$9,"")</f>
        <v>Dammbalken 50/150 exkl. Dichtung, gesägt und entgratet (0 kg/Stk)</v>
      </c>
      <c r="H395" s="989"/>
      <c r="I395" s="989"/>
      <c r="J395" s="989"/>
      <c r="K395" s="989"/>
      <c r="L395" s="989"/>
      <c r="M395" s="990"/>
      <c r="N395" s="313"/>
      <c r="O395" s="426">
        <f t="shared" si="14"/>
        <v>0</v>
      </c>
      <c r="P395" s="286"/>
    </row>
    <row r="396" spans="2:16" ht="32.1" hidden="1" customHeight="1">
      <c r="B396" s="556"/>
      <c r="C396" s="312">
        <v>0</v>
      </c>
      <c r="D396" s="317">
        <f t="shared" si="13"/>
        <v>0</v>
      </c>
      <c r="E396" s="318" t="str">
        <f>VLOOKUP("[m]",Sprachindex!$A:$Z,Haftungsausschluß!$O$6,FALSE)</f>
        <v>[m]</v>
      </c>
      <c r="F396" s="318" t="str">
        <f>IF($L$14=1,Preisliste!$E$10,Preisliste!$F$10)</f>
        <v>H501000</v>
      </c>
      <c r="G396" s="988" t="str">
        <f>VLOOKUP("Dammbalken 50/150 exkl. Dichtung, gesägt und entgratet",Sprachindex!$A:$Z,Haftungsausschluß!$O$6,FALSE) &amp; " (" &amp; ROUNDUP(C396/1000*5.62,2) &amp; " " &amp; VLOOKUP("kg/Stk",Sprachindex!$A:$Z,Haftungsausschluß!$O$6,FALSE) &amp; ")" &amp; IF('Kalkulation 1'!$AH$33," " &amp; 'Kalkulation 1'!$R$9,"")</f>
        <v>Dammbalken 50/150 exkl. Dichtung, gesägt und entgratet (0 kg/Stk)</v>
      </c>
      <c r="H396" s="989"/>
      <c r="I396" s="989"/>
      <c r="J396" s="989"/>
      <c r="K396" s="989"/>
      <c r="L396" s="989"/>
      <c r="M396" s="990"/>
      <c r="N396" s="313"/>
      <c r="O396" s="426">
        <f t="shared" si="14"/>
        <v>0</v>
      </c>
      <c r="P396" s="286"/>
    </row>
    <row r="397" spans="2:16" ht="32.1" hidden="1" customHeight="1">
      <c r="B397" s="556"/>
      <c r="C397" s="312">
        <v>0</v>
      </c>
      <c r="D397" s="317">
        <f t="shared" si="13"/>
        <v>0</v>
      </c>
      <c r="E397" s="318" t="str">
        <f>VLOOKUP("[m]",Sprachindex!$A:$Z,Haftungsausschluß!$O$6,FALSE)</f>
        <v>[m]</v>
      </c>
      <c r="F397" s="318" t="str">
        <f>IF($L$14=1,Preisliste!$E$10,Preisliste!$F$10)</f>
        <v>H501000</v>
      </c>
      <c r="G397" s="988" t="str">
        <f>VLOOKUP("Dammbalken 50/150 exkl. Dichtung, gesägt und entgratet",Sprachindex!$A:$Z,Haftungsausschluß!$O$6,FALSE) &amp; " (" &amp; ROUNDUP(C397/1000*5.62,2) &amp; " " &amp; VLOOKUP("kg/Stk",Sprachindex!$A:$Z,Haftungsausschluß!$O$6,FALSE) &amp; ")" &amp; IF('Kalkulation 1'!$AH$33," " &amp; 'Kalkulation 1'!$R$9,"")</f>
        <v>Dammbalken 50/150 exkl. Dichtung, gesägt und entgratet (0 kg/Stk)</v>
      </c>
      <c r="H397" s="989"/>
      <c r="I397" s="989"/>
      <c r="J397" s="989"/>
      <c r="K397" s="989"/>
      <c r="L397" s="989"/>
      <c r="M397" s="990"/>
      <c r="N397" s="313"/>
      <c r="O397" s="426">
        <f t="shared" si="14"/>
        <v>0</v>
      </c>
      <c r="P397" s="286"/>
    </row>
    <row r="398" spans="2:16" ht="32.1" hidden="1" customHeight="1">
      <c r="B398" s="556"/>
      <c r="C398" s="312">
        <v>0</v>
      </c>
      <c r="D398" s="317">
        <f t="shared" si="13"/>
        <v>0</v>
      </c>
      <c r="E398" s="318" t="str">
        <f>VLOOKUP("[m]",Sprachindex!$A:$Z,Haftungsausschluß!$O$6,FALSE)</f>
        <v>[m]</v>
      </c>
      <c r="F398" s="318" t="str">
        <f>IF($L$14=1,Preisliste!$E$10,Preisliste!$F$10)</f>
        <v>H501000</v>
      </c>
      <c r="G398" s="988" t="str">
        <f>VLOOKUP("Dammbalken 50/150 exkl. Dichtung, gesägt und entgratet",Sprachindex!$A:$Z,Haftungsausschluß!$O$6,FALSE) &amp; " (" &amp; ROUNDUP(C398/1000*5.62,2) &amp; " " &amp; VLOOKUP("kg/Stk",Sprachindex!$A:$Z,Haftungsausschluß!$O$6,FALSE) &amp; ")" &amp; IF('Kalkulation 1'!$AH$33," " &amp; 'Kalkulation 1'!$R$9,"")</f>
        <v>Dammbalken 50/150 exkl. Dichtung, gesägt und entgratet (0 kg/Stk)</v>
      </c>
      <c r="H398" s="989"/>
      <c r="I398" s="989"/>
      <c r="J398" s="989"/>
      <c r="K398" s="989"/>
      <c r="L398" s="989"/>
      <c r="M398" s="990"/>
      <c r="N398" s="313"/>
      <c r="O398" s="426">
        <f t="shared" si="14"/>
        <v>0</v>
      </c>
      <c r="P398" s="286"/>
    </row>
    <row r="399" spans="2:16" ht="32.1" hidden="1" customHeight="1">
      <c r="B399" s="556"/>
      <c r="C399" s="312">
        <v>0</v>
      </c>
      <c r="D399" s="317">
        <f t="shared" ref="D399:D462" si="15">B399*C399/1000</f>
        <v>0</v>
      </c>
      <c r="E399" s="318" t="str">
        <f>VLOOKUP("[m]",Sprachindex!$A:$Z,Haftungsausschluß!$O$6,FALSE)</f>
        <v>[m]</v>
      </c>
      <c r="F399" s="318" t="str">
        <f>IF($L$14=1,Preisliste!$E$10,Preisliste!$F$10)</f>
        <v>H501000</v>
      </c>
      <c r="G399" s="988" t="str">
        <f>VLOOKUP("Dammbalken 50/150 exkl. Dichtung, gesägt und entgratet",Sprachindex!$A:$Z,Haftungsausschluß!$O$6,FALSE) &amp; " (" &amp; ROUNDUP(C399/1000*5.62,2) &amp; " " &amp; VLOOKUP("kg/Stk",Sprachindex!$A:$Z,Haftungsausschluß!$O$6,FALSE) &amp; ")" &amp; IF('Kalkulation 1'!$AH$33," " &amp; 'Kalkulation 1'!$R$9,"")</f>
        <v>Dammbalken 50/150 exkl. Dichtung, gesägt und entgratet (0 kg/Stk)</v>
      </c>
      <c r="H399" s="989"/>
      <c r="I399" s="989"/>
      <c r="J399" s="989"/>
      <c r="K399" s="989"/>
      <c r="L399" s="989"/>
      <c r="M399" s="990"/>
      <c r="N399" s="313"/>
      <c r="O399" s="426">
        <f t="shared" ref="O399:O462" si="16">N399*D399</f>
        <v>0</v>
      </c>
      <c r="P399" s="286"/>
    </row>
    <row r="400" spans="2:16" ht="32.1" hidden="1" customHeight="1">
      <c r="B400" s="556"/>
      <c r="C400" s="312">
        <v>0</v>
      </c>
      <c r="D400" s="317">
        <f t="shared" si="15"/>
        <v>0</v>
      </c>
      <c r="E400" s="318" t="str">
        <f>VLOOKUP("[m]",Sprachindex!$A:$Z,Haftungsausschluß!$O$6,FALSE)</f>
        <v>[m]</v>
      </c>
      <c r="F400" s="318" t="str">
        <f>IF($L$14=1,Preisliste!$E$10,Preisliste!$F$10)</f>
        <v>H501000</v>
      </c>
      <c r="G400" s="988" t="str">
        <f>VLOOKUP("Dammbalken 50/150 exkl. Dichtung, gesägt und entgratet",Sprachindex!$A:$Z,Haftungsausschluß!$O$6,FALSE) &amp; " (" &amp; ROUNDUP(C400/1000*5.62,2) &amp; " " &amp; VLOOKUP("kg/Stk",Sprachindex!$A:$Z,Haftungsausschluß!$O$6,FALSE) &amp; ")" &amp; IF('Kalkulation 1'!$AH$33," " &amp; 'Kalkulation 1'!$R$9,"")</f>
        <v>Dammbalken 50/150 exkl. Dichtung, gesägt und entgratet (0 kg/Stk)</v>
      </c>
      <c r="H400" s="989"/>
      <c r="I400" s="989"/>
      <c r="J400" s="989"/>
      <c r="K400" s="989"/>
      <c r="L400" s="989"/>
      <c r="M400" s="990"/>
      <c r="N400" s="313"/>
      <c r="O400" s="426">
        <f t="shared" si="16"/>
        <v>0</v>
      </c>
      <c r="P400" s="286"/>
    </row>
    <row r="401" spans="2:16" ht="32.1" hidden="1" customHeight="1">
      <c r="B401" s="556"/>
      <c r="C401" s="312">
        <v>0</v>
      </c>
      <c r="D401" s="317">
        <f t="shared" si="15"/>
        <v>0</v>
      </c>
      <c r="E401" s="318" t="str">
        <f>VLOOKUP("[m]",Sprachindex!$A:$Z,Haftungsausschluß!$O$6,FALSE)</f>
        <v>[m]</v>
      </c>
      <c r="F401" s="318" t="str">
        <f>IF($L$14=1,Preisliste!$E$10,Preisliste!$F$10)</f>
        <v>H501000</v>
      </c>
      <c r="G401" s="988" t="str">
        <f>VLOOKUP("Dammbalken 50/150 exkl. Dichtung, gesägt und entgratet",Sprachindex!$A:$Z,Haftungsausschluß!$O$6,FALSE) &amp; " (" &amp; ROUNDUP(C401/1000*5.62,2) &amp; " " &amp; VLOOKUP("kg/Stk",Sprachindex!$A:$Z,Haftungsausschluß!$O$6,FALSE) &amp; ")" &amp; IF('Kalkulation 1'!$AH$33," " &amp; 'Kalkulation 1'!$R$9,"")</f>
        <v>Dammbalken 50/150 exkl. Dichtung, gesägt und entgratet (0 kg/Stk)</v>
      </c>
      <c r="H401" s="989"/>
      <c r="I401" s="989"/>
      <c r="J401" s="989"/>
      <c r="K401" s="989"/>
      <c r="L401" s="989"/>
      <c r="M401" s="990"/>
      <c r="N401" s="313"/>
      <c r="O401" s="426">
        <f t="shared" si="16"/>
        <v>0</v>
      </c>
      <c r="P401" s="286"/>
    </row>
    <row r="402" spans="2:16" ht="32.1" hidden="1" customHeight="1">
      <c r="B402" s="556"/>
      <c r="C402" s="312">
        <v>0</v>
      </c>
      <c r="D402" s="317">
        <f t="shared" si="15"/>
        <v>0</v>
      </c>
      <c r="E402" s="318" t="str">
        <f>VLOOKUP("[m]",Sprachindex!$A:$Z,Haftungsausschluß!$O$6,FALSE)</f>
        <v>[m]</v>
      </c>
      <c r="F402" s="318" t="str">
        <f>IF($L$14=1,Preisliste!$E$10,Preisliste!$F$10)</f>
        <v>H501000</v>
      </c>
      <c r="G402" s="988" t="str">
        <f>VLOOKUP("Dammbalken 50/150 exkl. Dichtung, gesägt und entgratet",Sprachindex!$A:$Z,Haftungsausschluß!$O$6,FALSE) &amp; " (" &amp; ROUNDUP(C402/1000*5.62,2) &amp; " " &amp; VLOOKUP("kg/Stk",Sprachindex!$A:$Z,Haftungsausschluß!$O$6,FALSE) &amp; ")" &amp; IF('Kalkulation 1'!$AH$33," " &amp; 'Kalkulation 1'!$R$9,"")</f>
        <v>Dammbalken 50/150 exkl. Dichtung, gesägt und entgratet (0 kg/Stk)</v>
      </c>
      <c r="H402" s="989"/>
      <c r="I402" s="989"/>
      <c r="J402" s="989"/>
      <c r="K402" s="989"/>
      <c r="L402" s="989"/>
      <c r="M402" s="990"/>
      <c r="N402" s="313"/>
      <c r="O402" s="426">
        <f t="shared" si="16"/>
        <v>0</v>
      </c>
      <c r="P402" s="286"/>
    </row>
    <row r="403" spans="2:16" ht="32.1" hidden="1" customHeight="1">
      <c r="B403" s="556"/>
      <c r="C403" s="312">
        <v>0</v>
      </c>
      <c r="D403" s="317">
        <f t="shared" si="15"/>
        <v>0</v>
      </c>
      <c r="E403" s="318" t="str">
        <f>VLOOKUP("[m]",Sprachindex!$A:$Z,Haftungsausschluß!$O$6,FALSE)</f>
        <v>[m]</v>
      </c>
      <c r="F403" s="318" t="str">
        <f>IF($L$14=1,Preisliste!$E$10,Preisliste!$F$10)</f>
        <v>H501000</v>
      </c>
      <c r="G403" s="988" t="str">
        <f>VLOOKUP("Dammbalken 50/150 exkl. Dichtung, gesägt und entgratet",Sprachindex!$A:$Z,Haftungsausschluß!$O$6,FALSE) &amp; " (" &amp; ROUNDUP(C403/1000*5.62,2) &amp; " " &amp; VLOOKUP("kg/Stk",Sprachindex!$A:$Z,Haftungsausschluß!$O$6,FALSE) &amp; ")" &amp; IF('Kalkulation 1'!$AH$33," " &amp; 'Kalkulation 1'!$R$9,"")</f>
        <v>Dammbalken 50/150 exkl. Dichtung, gesägt und entgratet (0 kg/Stk)</v>
      </c>
      <c r="H403" s="989"/>
      <c r="I403" s="989"/>
      <c r="J403" s="989"/>
      <c r="K403" s="989"/>
      <c r="L403" s="989"/>
      <c r="M403" s="990"/>
      <c r="N403" s="313"/>
      <c r="O403" s="426">
        <f t="shared" si="16"/>
        <v>0</v>
      </c>
      <c r="P403" s="286"/>
    </row>
    <row r="404" spans="2:16" ht="32.1" hidden="1" customHeight="1">
      <c r="B404" s="556"/>
      <c r="C404" s="312">
        <v>0</v>
      </c>
      <c r="D404" s="317">
        <f t="shared" si="15"/>
        <v>0</v>
      </c>
      <c r="E404" s="318" t="str">
        <f>VLOOKUP("[m]",Sprachindex!$A:$Z,Haftungsausschluß!$O$6,FALSE)</f>
        <v>[m]</v>
      </c>
      <c r="F404" s="318" t="str">
        <f>IF($L$14=1,Preisliste!$E$10,Preisliste!$F$10)</f>
        <v>H501000</v>
      </c>
      <c r="G404" s="988" t="str">
        <f>VLOOKUP("Dammbalken 50/150 exkl. Dichtung, gesägt und entgratet",Sprachindex!$A:$Z,Haftungsausschluß!$O$6,FALSE) &amp; " (" &amp; ROUNDUP(C404/1000*5.62,2) &amp; " " &amp; VLOOKUP("kg/Stk",Sprachindex!$A:$Z,Haftungsausschluß!$O$6,FALSE) &amp; ")" &amp; IF('Kalkulation 1'!$AH$33," " &amp; 'Kalkulation 1'!$R$9,"")</f>
        <v>Dammbalken 50/150 exkl. Dichtung, gesägt und entgratet (0 kg/Stk)</v>
      </c>
      <c r="H404" s="989"/>
      <c r="I404" s="989"/>
      <c r="J404" s="989"/>
      <c r="K404" s="989"/>
      <c r="L404" s="989"/>
      <c r="M404" s="990"/>
      <c r="N404" s="313"/>
      <c r="O404" s="426">
        <f t="shared" si="16"/>
        <v>0</v>
      </c>
      <c r="P404" s="286"/>
    </row>
    <row r="405" spans="2:16" ht="32.1" hidden="1" customHeight="1">
      <c r="B405" s="556"/>
      <c r="C405" s="312">
        <v>0</v>
      </c>
      <c r="D405" s="317">
        <f t="shared" si="15"/>
        <v>0</v>
      </c>
      <c r="E405" s="318" t="str">
        <f>VLOOKUP("[m]",Sprachindex!$A:$Z,Haftungsausschluß!$O$6,FALSE)</f>
        <v>[m]</v>
      </c>
      <c r="F405" s="318" t="str">
        <f>IF($L$14=1,Preisliste!$E$10,Preisliste!$F$10)</f>
        <v>H501000</v>
      </c>
      <c r="G405" s="988" t="str">
        <f>VLOOKUP("Dammbalken 50/150 exkl. Dichtung, gesägt und entgratet",Sprachindex!$A:$Z,Haftungsausschluß!$O$6,FALSE) &amp; " (" &amp; ROUNDUP(C405/1000*5.62,2) &amp; " " &amp; VLOOKUP("kg/Stk",Sprachindex!$A:$Z,Haftungsausschluß!$O$6,FALSE) &amp; ")" &amp; IF('Kalkulation 1'!$AH$33," " &amp; 'Kalkulation 1'!$R$9,"")</f>
        <v>Dammbalken 50/150 exkl. Dichtung, gesägt und entgratet (0 kg/Stk)</v>
      </c>
      <c r="H405" s="989"/>
      <c r="I405" s="989"/>
      <c r="J405" s="989"/>
      <c r="K405" s="989"/>
      <c r="L405" s="989"/>
      <c r="M405" s="990"/>
      <c r="N405" s="313"/>
      <c r="O405" s="426">
        <f t="shared" si="16"/>
        <v>0</v>
      </c>
      <c r="P405" s="286"/>
    </row>
    <row r="406" spans="2:16" ht="32.1" hidden="1" customHeight="1">
      <c r="B406" s="556"/>
      <c r="C406" s="312">
        <v>0</v>
      </c>
      <c r="D406" s="317">
        <f t="shared" si="15"/>
        <v>0</v>
      </c>
      <c r="E406" s="318" t="str">
        <f>VLOOKUP("[m]",Sprachindex!$A:$Z,Haftungsausschluß!$O$6,FALSE)</f>
        <v>[m]</v>
      </c>
      <c r="F406" s="318" t="str">
        <f>IF($L$14=1,Preisliste!$E$10,Preisliste!$F$10)</f>
        <v>H501000</v>
      </c>
      <c r="G406" s="988" t="str">
        <f>VLOOKUP("Dammbalken 50/150 exkl. Dichtung, gesägt und entgratet",Sprachindex!$A:$Z,Haftungsausschluß!$O$6,FALSE) &amp; " (" &amp; ROUNDUP(C406/1000*5.62,2) &amp; " " &amp; VLOOKUP("kg/Stk",Sprachindex!$A:$Z,Haftungsausschluß!$O$6,FALSE) &amp; ")" &amp; IF('Kalkulation 1'!$AH$33," " &amp; 'Kalkulation 1'!$R$9,"")</f>
        <v>Dammbalken 50/150 exkl. Dichtung, gesägt und entgratet (0 kg/Stk)</v>
      </c>
      <c r="H406" s="989"/>
      <c r="I406" s="989"/>
      <c r="J406" s="989"/>
      <c r="K406" s="989"/>
      <c r="L406" s="989"/>
      <c r="M406" s="990"/>
      <c r="N406" s="313"/>
      <c r="O406" s="426">
        <f t="shared" si="16"/>
        <v>0</v>
      </c>
      <c r="P406" s="286"/>
    </row>
    <row r="407" spans="2:16" ht="32.1" hidden="1" customHeight="1" thickBot="1">
      <c r="B407" s="556"/>
      <c r="C407" s="312"/>
      <c r="D407" s="317">
        <f t="shared" si="15"/>
        <v>0</v>
      </c>
      <c r="E407" s="318" t="str">
        <f>VLOOKUP("[m]",Sprachindex!$A:$Z,Haftungsausschluß!$O$6,FALSE)</f>
        <v>[m]</v>
      </c>
      <c r="F407" s="318" t="str">
        <f>IF($L$14=1,Preisliste!$E$13,Preisliste!$F$13)</f>
        <v>H501001</v>
      </c>
      <c r="G407" s="988" t="str">
        <f>VLOOKUP("Dammbalken 50/200 exkl. Dichtung, gesägt und entgratet",Sprachindex!$A:$Z,Haftungsausschluß!$O$6,FALSE) &amp; " (" &amp; ROUNDUP(C407/1000*4.12,2) &amp; " " &amp; VLOOKUP("kg/Stk",Sprachindex!$A:$Z,Haftungsausschluß!$O$6,FALSE) &amp; ")" &amp; IF('Kalkulation 1'!$AH$33," " &amp; 'Kalkulation 1'!$R$9,"")</f>
        <v>Dammbalken 50/200 exkl. Dichtung, gesägt und entgratet (0 kg/Stk)</v>
      </c>
      <c r="H407" s="989"/>
      <c r="I407" s="989"/>
      <c r="J407" s="989"/>
      <c r="K407" s="989"/>
      <c r="L407" s="989"/>
      <c r="M407" s="990"/>
      <c r="N407" s="313">
        <v>86.41</v>
      </c>
      <c r="O407" s="426">
        <f t="shared" si="16"/>
        <v>0</v>
      </c>
      <c r="P407" s="286"/>
    </row>
    <row r="408" spans="2:16" ht="32.1" hidden="1" customHeight="1">
      <c r="B408" s="556"/>
      <c r="C408" s="312">
        <v>1290</v>
      </c>
      <c r="D408" s="317">
        <f t="shared" si="15"/>
        <v>0</v>
      </c>
      <c r="E408" s="318" t="str">
        <f>VLOOKUP("[m]",Sprachindex!$A:$Z,Haftungsausschluß!$O$6,FALSE)</f>
        <v>[m]</v>
      </c>
      <c r="F408" s="318" t="str">
        <f>IF($L$14=1,Preisliste!$E$13,Preisliste!$F$13)</f>
        <v>H501001</v>
      </c>
      <c r="G408" s="988" t="str">
        <f>VLOOKUP("Dammbalken 50/200 exkl. Dichtung, gesägt und entgratet",Sprachindex!$A:$Z,Haftungsausschluß!$O$6,FALSE) &amp; " (" &amp; ROUNDUP(C408/1000*4.12,2) &amp; " " &amp; VLOOKUP("kg/Stk",Sprachindex!$A:$Z,Haftungsausschluß!$O$6,FALSE) &amp; ")" &amp; IF('Kalkulation 1'!$AH$33," " &amp; 'Kalkulation 1'!$R$9,"")</f>
        <v>Dammbalken 50/200 exkl. Dichtung, gesägt und entgratet (5.32 kg/Stk)</v>
      </c>
      <c r="H408" s="989"/>
      <c r="I408" s="989"/>
      <c r="J408" s="989"/>
      <c r="K408" s="989"/>
      <c r="L408" s="989"/>
      <c r="M408" s="990"/>
      <c r="N408" s="313"/>
      <c r="O408" s="426">
        <f t="shared" si="16"/>
        <v>0</v>
      </c>
      <c r="P408" s="286"/>
    </row>
    <row r="409" spans="2:16" ht="32.1" hidden="1" customHeight="1">
      <c r="B409" s="556"/>
      <c r="C409" s="312">
        <v>945</v>
      </c>
      <c r="D409" s="317">
        <f t="shared" si="15"/>
        <v>0</v>
      </c>
      <c r="E409" s="318" t="str">
        <f>VLOOKUP("[m]",Sprachindex!$A:$Z,Haftungsausschluß!$O$6,FALSE)</f>
        <v>[m]</v>
      </c>
      <c r="F409" s="318" t="str">
        <f>IF($L$14=1,Preisliste!$E$13,Preisliste!$F$13)</f>
        <v>H501001</v>
      </c>
      <c r="G409" s="988" t="str">
        <f>VLOOKUP("Dammbalken 50/200 exkl. Dichtung, gesägt und entgratet",Sprachindex!$A:$Z,Haftungsausschluß!$O$6,FALSE) &amp; " (" &amp; ROUNDUP(C409/1000*4.12,2) &amp; " " &amp; VLOOKUP("kg/Stk",Sprachindex!$A:$Z,Haftungsausschluß!$O$6,FALSE) &amp; ")" &amp; IF('Kalkulation 1'!$AH$33," " &amp; 'Kalkulation 1'!$R$9,"")</f>
        <v>Dammbalken 50/200 exkl. Dichtung, gesägt und entgratet (3.9 kg/Stk)</v>
      </c>
      <c r="H409" s="989"/>
      <c r="I409" s="989"/>
      <c r="J409" s="989"/>
      <c r="K409" s="989"/>
      <c r="L409" s="989"/>
      <c r="M409" s="990"/>
      <c r="N409" s="313"/>
      <c r="O409" s="426">
        <f t="shared" si="16"/>
        <v>0</v>
      </c>
      <c r="P409" s="286"/>
    </row>
    <row r="410" spans="2:16" ht="32.1" hidden="1" customHeight="1">
      <c r="B410" s="556"/>
      <c r="C410" s="312">
        <v>568</v>
      </c>
      <c r="D410" s="317">
        <f t="shared" si="15"/>
        <v>0</v>
      </c>
      <c r="E410" s="318" t="str">
        <f>VLOOKUP("[m]",Sprachindex!$A:$Z,Haftungsausschluß!$O$6,FALSE)</f>
        <v>[m]</v>
      </c>
      <c r="F410" s="318" t="str">
        <f>IF($L$14=1,Preisliste!$E$13,Preisliste!$F$13)</f>
        <v>H501001</v>
      </c>
      <c r="G410" s="988" t="str">
        <f>VLOOKUP("Dammbalken 50/200 exkl. Dichtung, gesägt und entgratet",Sprachindex!$A:$Z,Haftungsausschluß!$O$6,FALSE) &amp; " (" &amp; ROUNDUP(C410/1000*4.12,2) &amp; " " &amp; VLOOKUP("kg/Stk",Sprachindex!$A:$Z,Haftungsausschluß!$O$6,FALSE) &amp; ")" &amp; IF('Kalkulation 1'!$AH$33," " &amp; 'Kalkulation 1'!$R$9,"")</f>
        <v>Dammbalken 50/200 exkl. Dichtung, gesägt und entgratet (2.35 kg/Stk)</v>
      </c>
      <c r="H410" s="989"/>
      <c r="I410" s="989"/>
      <c r="J410" s="989"/>
      <c r="K410" s="989"/>
      <c r="L410" s="989"/>
      <c r="M410" s="990"/>
      <c r="N410" s="313"/>
      <c r="O410" s="426">
        <f t="shared" si="16"/>
        <v>0</v>
      </c>
      <c r="P410" s="286"/>
    </row>
    <row r="411" spans="2:16" ht="32.1" hidden="1" customHeight="1">
      <c r="B411" s="556"/>
      <c r="C411" s="312">
        <v>945</v>
      </c>
      <c r="D411" s="317">
        <f t="shared" si="15"/>
        <v>0</v>
      </c>
      <c r="E411" s="318" t="str">
        <f>VLOOKUP("[m]",Sprachindex!$A:$Z,Haftungsausschluß!$O$6,FALSE)</f>
        <v>[m]</v>
      </c>
      <c r="F411" s="318" t="str">
        <f>IF($L$14=1,Preisliste!$E$13,Preisliste!$F$13)</f>
        <v>H501001</v>
      </c>
      <c r="G411" s="988" t="str">
        <f>VLOOKUP("Dammbalken 50/200 exkl. Dichtung, gesägt und entgratet",Sprachindex!$A:$Z,Haftungsausschluß!$O$6,FALSE) &amp; " (" &amp; ROUNDUP(C411/1000*4.12,2) &amp; " " &amp; VLOOKUP("kg/Stk",Sprachindex!$A:$Z,Haftungsausschluß!$O$6,FALSE) &amp; ")" &amp; IF('Kalkulation 1'!$AH$33," " &amp; 'Kalkulation 1'!$R$9,"")</f>
        <v>Dammbalken 50/200 exkl. Dichtung, gesägt und entgratet (3.9 kg/Stk)</v>
      </c>
      <c r="H411" s="989"/>
      <c r="I411" s="989"/>
      <c r="J411" s="989"/>
      <c r="K411" s="989"/>
      <c r="L411" s="989"/>
      <c r="M411" s="990"/>
      <c r="N411" s="313"/>
      <c r="O411" s="426">
        <f t="shared" si="16"/>
        <v>0</v>
      </c>
      <c r="P411" s="286"/>
    </row>
    <row r="412" spans="2:16" ht="32.1" hidden="1" customHeight="1">
      <c r="B412" s="556"/>
      <c r="C412" s="312">
        <v>0</v>
      </c>
      <c r="D412" s="317">
        <f t="shared" si="15"/>
        <v>0</v>
      </c>
      <c r="E412" s="318" t="str">
        <f>VLOOKUP("[m]",Sprachindex!$A:$Z,Haftungsausschluß!$O$6,FALSE)</f>
        <v>[m]</v>
      </c>
      <c r="F412" s="318" t="str">
        <f>IF($L$14=1,Preisliste!$E$13,Preisliste!$F$13)</f>
        <v>H501001</v>
      </c>
      <c r="G412" s="988" t="str">
        <f>VLOOKUP("Dammbalken 50/200 exkl. Dichtung, gesägt und entgratet",Sprachindex!$A:$Z,Haftungsausschluß!$O$6,FALSE) &amp; " (" &amp; ROUNDUP(C412/1000*4.12,2) &amp; " " &amp; VLOOKUP("kg/Stk",Sprachindex!$A:$Z,Haftungsausschluß!$O$6,FALSE) &amp; ")" &amp; IF('Kalkulation 1'!$AH$33," " &amp; 'Kalkulation 1'!$R$9,"")</f>
        <v>Dammbalken 50/200 exkl. Dichtung, gesägt und entgratet (0 kg/Stk)</v>
      </c>
      <c r="H412" s="989"/>
      <c r="I412" s="989"/>
      <c r="J412" s="989"/>
      <c r="K412" s="989"/>
      <c r="L412" s="989"/>
      <c r="M412" s="990"/>
      <c r="N412" s="313"/>
      <c r="O412" s="426">
        <f t="shared" si="16"/>
        <v>0</v>
      </c>
      <c r="P412" s="286"/>
    </row>
    <row r="413" spans="2:16" ht="32.1" hidden="1" customHeight="1">
      <c r="B413" s="556"/>
      <c r="C413" s="312">
        <v>0</v>
      </c>
      <c r="D413" s="317">
        <f t="shared" si="15"/>
        <v>0</v>
      </c>
      <c r="E413" s="318" t="str">
        <f>VLOOKUP("[m]",Sprachindex!$A:$Z,Haftungsausschluß!$O$6,FALSE)</f>
        <v>[m]</v>
      </c>
      <c r="F413" s="318" t="str">
        <f>IF($L$14=1,Preisliste!$E$13,Preisliste!$F$13)</f>
        <v>H501001</v>
      </c>
      <c r="G413" s="988" t="str">
        <f>VLOOKUP("Dammbalken 50/200 exkl. Dichtung, gesägt und entgratet",Sprachindex!$A:$Z,Haftungsausschluß!$O$6,FALSE) &amp; " (" &amp; ROUNDUP(C413/1000*4.12,2) &amp; " " &amp; VLOOKUP("kg/Stk",Sprachindex!$A:$Z,Haftungsausschluß!$O$6,FALSE) &amp; ")" &amp; IF('Kalkulation 1'!$AH$33," " &amp; 'Kalkulation 1'!$R$9,"")</f>
        <v>Dammbalken 50/200 exkl. Dichtung, gesägt und entgratet (0 kg/Stk)</v>
      </c>
      <c r="H413" s="989"/>
      <c r="I413" s="989"/>
      <c r="J413" s="989"/>
      <c r="K413" s="989"/>
      <c r="L413" s="989"/>
      <c r="M413" s="990"/>
      <c r="N413" s="313"/>
      <c r="O413" s="426">
        <f t="shared" si="16"/>
        <v>0</v>
      </c>
      <c r="P413" s="286"/>
    </row>
    <row r="414" spans="2:16" ht="32.1" hidden="1" customHeight="1">
      <c r="B414" s="556"/>
      <c r="C414" s="312">
        <v>0</v>
      </c>
      <c r="D414" s="317">
        <f t="shared" si="15"/>
        <v>0</v>
      </c>
      <c r="E414" s="318" t="str">
        <f>VLOOKUP("[m]",Sprachindex!$A:$Z,Haftungsausschluß!$O$6,FALSE)</f>
        <v>[m]</v>
      </c>
      <c r="F414" s="318" t="str">
        <f>IF($L$14=1,Preisliste!$E$13,Preisliste!$F$13)</f>
        <v>H501001</v>
      </c>
      <c r="G414" s="988" t="str">
        <f>VLOOKUP("Dammbalken 50/200 exkl. Dichtung, gesägt und entgratet",Sprachindex!$A:$Z,Haftungsausschluß!$O$6,FALSE) &amp; " (" &amp; ROUNDUP(C414/1000*4.12,2) &amp; " " &amp; VLOOKUP("kg/Stk",Sprachindex!$A:$Z,Haftungsausschluß!$O$6,FALSE) &amp; ")" &amp; IF('Kalkulation 1'!$AH$33," " &amp; 'Kalkulation 1'!$R$9,"")</f>
        <v>Dammbalken 50/200 exkl. Dichtung, gesägt und entgratet (0 kg/Stk)</v>
      </c>
      <c r="H414" s="989"/>
      <c r="I414" s="989"/>
      <c r="J414" s="989"/>
      <c r="K414" s="989"/>
      <c r="L414" s="989"/>
      <c r="M414" s="990"/>
      <c r="N414" s="313"/>
      <c r="O414" s="426">
        <f t="shared" si="16"/>
        <v>0</v>
      </c>
      <c r="P414" s="286"/>
    </row>
    <row r="415" spans="2:16" ht="32.1" hidden="1" customHeight="1">
      <c r="B415" s="556"/>
      <c r="C415" s="312">
        <v>0</v>
      </c>
      <c r="D415" s="317">
        <f t="shared" si="15"/>
        <v>0</v>
      </c>
      <c r="E415" s="318" t="str">
        <f>VLOOKUP("[m]",Sprachindex!$A:$Z,Haftungsausschluß!$O$6,FALSE)</f>
        <v>[m]</v>
      </c>
      <c r="F415" s="318" t="str">
        <f>IF($L$14=1,Preisliste!$E$13,Preisliste!$F$13)</f>
        <v>H501001</v>
      </c>
      <c r="G415" s="988" t="str">
        <f>VLOOKUP("Dammbalken 50/200 exkl. Dichtung, gesägt und entgratet",Sprachindex!$A:$Z,Haftungsausschluß!$O$6,FALSE) &amp; " (" &amp; ROUNDUP(C415/1000*4.12,2) &amp; " " &amp; VLOOKUP("kg/Stk",Sprachindex!$A:$Z,Haftungsausschluß!$O$6,FALSE) &amp; ")" &amp; IF('Kalkulation 1'!$AH$33," " &amp; 'Kalkulation 1'!$R$9,"")</f>
        <v>Dammbalken 50/200 exkl. Dichtung, gesägt und entgratet (0 kg/Stk)</v>
      </c>
      <c r="H415" s="989"/>
      <c r="I415" s="989"/>
      <c r="J415" s="989"/>
      <c r="K415" s="989"/>
      <c r="L415" s="989"/>
      <c r="M415" s="990"/>
      <c r="N415" s="313"/>
      <c r="O415" s="426">
        <f t="shared" si="16"/>
        <v>0</v>
      </c>
      <c r="P415" s="286"/>
    </row>
    <row r="416" spans="2:16" ht="32.1" hidden="1" customHeight="1">
      <c r="B416" s="556"/>
      <c r="C416" s="312">
        <v>0</v>
      </c>
      <c r="D416" s="317">
        <f t="shared" si="15"/>
        <v>0</v>
      </c>
      <c r="E416" s="318" t="str">
        <f>VLOOKUP("[m]",Sprachindex!$A:$Z,Haftungsausschluß!$O$6,FALSE)</f>
        <v>[m]</v>
      </c>
      <c r="F416" s="318" t="str">
        <f>IF($L$14=1,Preisliste!$E$13,Preisliste!$F$13)</f>
        <v>H501001</v>
      </c>
      <c r="G416" s="988" t="str">
        <f>VLOOKUP("Dammbalken 50/200 exkl. Dichtung, gesägt und entgratet",Sprachindex!$A:$Z,Haftungsausschluß!$O$6,FALSE) &amp; " (" &amp; ROUNDUP(C416/1000*4.12,2) &amp; " " &amp; VLOOKUP("kg/Stk",Sprachindex!$A:$Z,Haftungsausschluß!$O$6,FALSE) &amp; ")" &amp; IF('Kalkulation 1'!$AH$33," " &amp; 'Kalkulation 1'!$R$9,"")</f>
        <v>Dammbalken 50/200 exkl. Dichtung, gesägt und entgratet (0 kg/Stk)</v>
      </c>
      <c r="H416" s="989"/>
      <c r="I416" s="989"/>
      <c r="J416" s="989"/>
      <c r="K416" s="989"/>
      <c r="L416" s="989"/>
      <c r="M416" s="990"/>
      <c r="N416" s="313"/>
      <c r="O416" s="426">
        <f t="shared" si="16"/>
        <v>0</v>
      </c>
      <c r="P416" s="286"/>
    </row>
    <row r="417" spans="2:16" ht="32.1" hidden="1" customHeight="1">
      <c r="B417" s="556"/>
      <c r="C417" s="312">
        <v>0</v>
      </c>
      <c r="D417" s="317">
        <f t="shared" si="15"/>
        <v>0</v>
      </c>
      <c r="E417" s="318" t="str">
        <f>VLOOKUP("[m]",Sprachindex!$A:$Z,Haftungsausschluß!$O$6,FALSE)</f>
        <v>[m]</v>
      </c>
      <c r="F417" s="318" t="str">
        <f>IF($L$14=1,Preisliste!$E$13,Preisliste!$F$13)</f>
        <v>H501001</v>
      </c>
      <c r="G417" s="988" t="str">
        <f>VLOOKUP("Dammbalken 50/200 exkl. Dichtung, gesägt und entgratet",Sprachindex!$A:$Z,Haftungsausschluß!$O$6,FALSE) &amp; " (" &amp; ROUNDUP(C417/1000*4.12,2) &amp; " " &amp; VLOOKUP("kg/Stk",Sprachindex!$A:$Z,Haftungsausschluß!$O$6,FALSE) &amp; ")" &amp; IF('Kalkulation 1'!$AH$33," " &amp; 'Kalkulation 1'!$R$9,"")</f>
        <v>Dammbalken 50/200 exkl. Dichtung, gesägt und entgratet (0 kg/Stk)</v>
      </c>
      <c r="H417" s="989"/>
      <c r="I417" s="989"/>
      <c r="J417" s="989"/>
      <c r="K417" s="989"/>
      <c r="L417" s="989"/>
      <c r="M417" s="990"/>
      <c r="N417" s="313"/>
      <c r="O417" s="426">
        <f t="shared" si="16"/>
        <v>0</v>
      </c>
      <c r="P417" s="286"/>
    </row>
    <row r="418" spans="2:16" ht="32.1" hidden="1" customHeight="1">
      <c r="B418" s="556"/>
      <c r="C418" s="312">
        <v>0</v>
      </c>
      <c r="D418" s="317">
        <f t="shared" si="15"/>
        <v>0</v>
      </c>
      <c r="E418" s="318" t="str">
        <f>VLOOKUP("[m]",Sprachindex!$A:$Z,Haftungsausschluß!$O$6,FALSE)</f>
        <v>[m]</v>
      </c>
      <c r="F418" s="318" t="str">
        <f>IF($L$14=1,Preisliste!$E$13,Preisliste!$F$13)</f>
        <v>H501001</v>
      </c>
      <c r="G418" s="988" t="str">
        <f>VLOOKUP("Dammbalken 50/200 exkl. Dichtung, gesägt und entgratet",Sprachindex!$A:$Z,Haftungsausschluß!$O$6,FALSE) &amp; " (" &amp; ROUNDUP(C418/1000*4.12,2) &amp; " " &amp; VLOOKUP("kg/Stk",Sprachindex!$A:$Z,Haftungsausschluß!$O$6,FALSE) &amp; ")" &amp; IF('Kalkulation 1'!$AH$33," " &amp; 'Kalkulation 1'!$R$9,"")</f>
        <v>Dammbalken 50/200 exkl. Dichtung, gesägt und entgratet (0 kg/Stk)</v>
      </c>
      <c r="H418" s="989"/>
      <c r="I418" s="989"/>
      <c r="J418" s="989"/>
      <c r="K418" s="989"/>
      <c r="L418" s="989"/>
      <c r="M418" s="990"/>
      <c r="N418" s="313"/>
      <c r="O418" s="426">
        <f t="shared" si="16"/>
        <v>0</v>
      </c>
      <c r="P418" s="286"/>
    </row>
    <row r="419" spans="2:16" ht="32.1" hidden="1" customHeight="1">
      <c r="B419" s="556"/>
      <c r="C419" s="312">
        <v>0</v>
      </c>
      <c r="D419" s="317">
        <f t="shared" si="15"/>
        <v>0</v>
      </c>
      <c r="E419" s="318" t="str">
        <f>VLOOKUP("[m]",Sprachindex!$A:$Z,Haftungsausschluß!$O$6,FALSE)</f>
        <v>[m]</v>
      </c>
      <c r="F419" s="318" t="str">
        <f>IF($L$14=1,Preisliste!$E$13,Preisliste!$F$13)</f>
        <v>H501001</v>
      </c>
      <c r="G419" s="988" t="str">
        <f>VLOOKUP("Dammbalken 50/200 exkl. Dichtung, gesägt und entgratet",Sprachindex!$A:$Z,Haftungsausschluß!$O$6,FALSE) &amp; " (" &amp; ROUNDUP(C419/1000*4.12,2) &amp; " " &amp; VLOOKUP("kg/Stk",Sprachindex!$A:$Z,Haftungsausschluß!$O$6,FALSE) &amp; ")" &amp; IF('Kalkulation 1'!$AH$33," " &amp; 'Kalkulation 1'!$R$9,"")</f>
        <v>Dammbalken 50/200 exkl. Dichtung, gesägt und entgratet (0 kg/Stk)</v>
      </c>
      <c r="H419" s="989"/>
      <c r="I419" s="989"/>
      <c r="J419" s="989"/>
      <c r="K419" s="989"/>
      <c r="L419" s="989"/>
      <c r="M419" s="990"/>
      <c r="N419" s="313"/>
      <c r="O419" s="426">
        <f t="shared" si="16"/>
        <v>0</v>
      </c>
      <c r="P419" s="286"/>
    </row>
    <row r="420" spans="2:16" ht="32.1" hidden="1" customHeight="1">
      <c r="B420" s="556"/>
      <c r="C420" s="312">
        <v>0</v>
      </c>
      <c r="D420" s="317">
        <f t="shared" si="15"/>
        <v>0</v>
      </c>
      <c r="E420" s="318" t="str">
        <f>VLOOKUP("[m]",Sprachindex!$A:$Z,Haftungsausschluß!$O$6,FALSE)</f>
        <v>[m]</v>
      </c>
      <c r="F420" s="318" t="str">
        <f>IF($L$14=1,Preisliste!$E$13,Preisliste!$F$13)</f>
        <v>H501001</v>
      </c>
      <c r="G420" s="988" t="str">
        <f>VLOOKUP("Dammbalken 50/200 exkl. Dichtung, gesägt und entgratet",Sprachindex!$A:$Z,Haftungsausschluß!$O$6,FALSE) &amp; " (" &amp; ROUNDUP(C420/1000*4.12,2) &amp; " " &amp; VLOOKUP("kg/Stk",Sprachindex!$A:$Z,Haftungsausschluß!$O$6,FALSE) &amp; ")" &amp; IF('Kalkulation 1'!$AH$33," " &amp; 'Kalkulation 1'!$R$9,"")</f>
        <v>Dammbalken 50/200 exkl. Dichtung, gesägt und entgratet (0 kg/Stk)</v>
      </c>
      <c r="H420" s="989"/>
      <c r="I420" s="989"/>
      <c r="J420" s="989"/>
      <c r="K420" s="989"/>
      <c r="L420" s="989"/>
      <c r="M420" s="990"/>
      <c r="N420" s="313"/>
      <c r="O420" s="426">
        <f t="shared" si="16"/>
        <v>0</v>
      </c>
      <c r="P420" s="286"/>
    </row>
    <row r="421" spans="2:16" ht="32.1" hidden="1" customHeight="1">
      <c r="B421" s="556"/>
      <c r="C421" s="312">
        <v>0</v>
      </c>
      <c r="D421" s="317">
        <f t="shared" si="15"/>
        <v>0</v>
      </c>
      <c r="E421" s="318" t="str">
        <f>VLOOKUP("[m]",Sprachindex!$A:$Z,Haftungsausschluß!$O$6,FALSE)</f>
        <v>[m]</v>
      </c>
      <c r="F421" s="318" t="str">
        <f>IF($L$14=1,Preisliste!$E$13,Preisliste!$F$13)</f>
        <v>H501001</v>
      </c>
      <c r="G421" s="988" t="str">
        <f>VLOOKUP("Dammbalken 50/200 exkl. Dichtung, gesägt und entgratet",Sprachindex!$A:$Z,Haftungsausschluß!$O$6,FALSE) &amp; " (" &amp; ROUNDUP(C421/1000*4.12,2) &amp; " " &amp; VLOOKUP("kg/Stk",Sprachindex!$A:$Z,Haftungsausschluß!$O$6,FALSE) &amp; ")" &amp; IF('Kalkulation 1'!$AH$33," " &amp; 'Kalkulation 1'!$R$9,"")</f>
        <v>Dammbalken 50/200 exkl. Dichtung, gesägt und entgratet (0 kg/Stk)</v>
      </c>
      <c r="H421" s="989"/>
      <c r="I421" s="989"/>
      <c r="J421" s="989"/>
      <c r="K421" s="989"/>
      <c r="L421" s="989"/>
      <c r="M421" s="990"/>
      <c r="N421" s="313"/>
      <c r="O421" s="426">
        <f t="shared" si="16"/>
        <v>0</v>
      </c>
      <c r="P421" s="286"/>
    </row>
    <row r="422" spans="2:16" ht="32.1" hidden="1" customHeight="1">
      <c r="B422" s="556"/>
      <c r="C422" s="312">
        <v>0</v>
      </c>
      <c r="D422" s="317">
        <f t="shared" si="15"/>
        <v>0</v>
      </c>
      <c r="E422" s="318" t="str">
        <f>VLOOKUP("[m]",Sprachindex!$A:$Z,Haftungsausschluß!$O$6,FALSE)</f>
        <v>[m]</v>
      </c>
      <c r="F422" s="318" t="str">
        <f>IF($L$14=1,Preisliste!$E$13,Preisliste!$F$13)</f>
        <v>H501001</v>
      </c>
      <c r="G422" s="988" t="str">
        <f>VLOOKUP("Dammbalken 50/200 exkl. Dichtung, gesägt und entgratet",Sprachindex!$A:$Z,Haftungsausschluß!$O$6,FALSE) &amp; " (" &amp; ROUNDUP(C422/1000*4.12,2) &amp; " " &amp; VLOOKUP("kg/Stk",Sprachindex!$A:$Z,Haftungsausschluß!$O$6,FALSE) &amp; ")" &amp; IF('Kalkulation 1'!$AH$33," " &amp; 'Kalkulation 1'!$R$9,"")</f>
        <v>Dammbalken 50/200 exkl. Dichtung, gesägt und entgratet (0 kg/Stk)</v>
      </c>
      <c r="H422" s="989"/>
      <c r="I422" s="989"/>
      <c r="J422" s="989"/>
      <c r="K422" s="989"/>
      <c r="L422" s="989"/>
      <c r="M422" s="990"/>
      <c r="N422" s="313"/>
      <c r="O422" s="426">
        <f t="shared" si="16"/>
        <v>0</v>
      </c>
      <c r="P422" s="286"/>
    </row>
    <row r="423" spans="2:16" ht="32.1" hidden="1" customHeight="1">
      <c r="B423" s="556"/>
      <c r="C423" s="312">
        <v>0</v>
      </c>
      <c r="D423" s="317">
        <f t="shared" si="15"/>
        <v>0</v>
      </c>
      <c r="E423" s="318" t="str">
        <f>VLOOKUP("[m]",Sprachindex!$A:$Z,Haftungsausschluß!$O$6,FALSE)</f>
        <v>[m]</v>
      </c>
      <c r="F423" s="318" t="str">
        <f>IF($L$14=1,Preisliste!$E$13,Preisliste!$F$13)</f>
        <v>H501001</v>
      </c>
      <c r="G423" s="988" t="str">
        <f>VLOOKUP("Dammbalken 50/200 exkl. Dichtung, gesägt und entgratet",Sprachindex!$A:$Z,Haftungsausschluß!$O$6,FALSE) &amp; " (" &amp; ROUNDUP(C423/1000*4.12,2) &amp; " " &amp; VLOOKUP("kg/Stk",Sprachindex!$A:$Z,Haftungsausschluß!$O$6,FALSE) &amp; ")" &amp; IF('Kalkulation 1'!$AH$33," " &amp; 'Kalkulation 1'!$R$9,"")</f>
        <v>Dammbalken 50/200 exkl. Dichtung, gesägt und entgratet (0 kg/Stk)</v>
      </c>
      <c r="H423" s="989"/>
      <c r="I423" s="989"/>
      <c r="J423" s="989"/>
      <c r="K423" s="989"/>
      <c r="L423" s="989"/>
      <c r="M423" s="990"/>
      <c r="N423" s="313"/>
      <c r="O423" s="426">
        <f t="shared" si="16"/>
        <v>0</v>
      </c>
      <c r="P423" s="286"/>
    </row>
    <row r="424" spans="2:16" ht="32.1" hidden="1" customHeight="1">
      <c r="B424" s="556"/>
      <c r="C424" s="312">
        <v>0</v>
      </c>
      <c r="D424" s="317">
        <f t="shared" si="15"/>
        <v>0</v>
      </c>
      <c r="E424" s="318" t="str">
        <f>VLOOKUP("[m]",Sprachindex!$A:$Z,Haftungsausschluß!$O$6,FALSE)</f>
        <v>[m]</v>
      </c>
      <c r="F424" s="318" t="str">
        <f>IF($L$14=1,Preisliste!$E$13,Preisliste!$F$13)</f>
        <v>H501001</v>
      </c>
      <c r="G424" s="988" t="str">
        <f>VLOOKUP("Dammbalken 50/200 exkl. Dichtung, gesägt und entgratet",Sprachindex!$A:$Z,Haftungsausschluß!$O$6,FALSE) &amp; " (" &amp; ROUNDUP(C424/1000*4.12,2) &amp; " " &amp; VLOOKUP("kg/Stk",Sprachindex!$A:$Z,Haftungsausschluß!$O$6,FALSE) &amp; ")" &amp; IF('Kalkulation 1'!$AH$33," " &amp; 'Kalkulation 1'!$R$9,"")</f>
        <v>Dammbalken 50/200 exkl. Dichtung, gesägt und entgratet (0 kg/Stk)</v>
      </c>
      <c r="H424" s="989"/>
      <c r="I424" s="989"/>
      <c r="J424" s="989"/>
      <c r="K424" s="989"/>
      <c r="L424" s="989"/>
      <c r="M424" s="990"/>
      <c r="N424" s="313"/>
      <c r="O424" s="426">
        <f t="shared" si="16"/>
        <v>0</v>
      </c>
      <c r="P424" s="286"/>
    </row>
    <row r="425" spans="2:16" ht="32.1" hidden="1" customHeight="1">
      <c r="B425" s="556"/>
      <c r="C425" s="312">
        <v>0</v>
      </c>
      <c r="D425" s="317">
        <f t="shared" si="15"/>
        <v>0</v>
      </c>
      <c r="E425" s="318" t="str">
        <f>VLOOKUP("[m]",Sprachindex!$A:$Z,Haftungsausschluß!$O$6,FALSE)</f>
        <v>[m]</v>
      </c>
      <c r="F425" s="318" t="str">
        <f>IF($L$14=1,Preisliste!$E$13,Preisliste!$F$13)</f>
        <v>H501001</v>
      </c>
      <c r="G425" s="988" t="str">
        <f>VLOOKUP("Dammbalken 50/200 exkl. Dichtung, gesägt und entgratet",Sprachindex!$A:$Z,Haftungsausschluß!$O$6,FALSE) &amp; " (" &amp; ROUNDUP(C425/1000*4.12,2) &amp; " " &amp; VLOOKUP("kg/Stk",Sprachindex!$A:$Z,Haftungsausschluß!$O$6,FALSE) &amp; ")" &amp; IF('Kalkulation 1'!$AH$33," " &amp; 'Kalkulation 1'!$R$9,"")</f>
        <v>Dammbalken 50/200 exkl. Dichtung, gesägt und entgratet (0 kg/Stk)</v>
      </c>
      <c r="H425" s="989"/>
      <c r="I425" s="989"/>
      <c r="J425" s="989"/>
      <c r="K425" s="989"/>
      <c r="L425" s="989"/>
      <c r="M425" s="990"/>
      <c r="N425" s="313"/>
      <c r="O425" s="426">
        <f t="shared" si="16"/>
        <v>0</v>
      </c>
      <c r="P425" s="286"/>
    </row>
    <row r="426" spans="2:16" ht="32.1" hidden="1" customHeight="1">
      <c r="B426" s="556"/>
      <c r="C426" s="312">
        <v>0</v>
      </c>
      <c r="D426" s="317">
        <f t="shared" si="15"/>
        <v>0</v>
      </c>
      <c r="E426" s="318" t="str">
        <f>VLOOKUP("[m]",Sprachindex!$A:$Z,Haftungsausschluß!$O$6,FALSE)</f>
        <v>[m]</v>
      </c>
      <c r="F426" s="318" t="str">
        <f>IF($L$14=1,Preisliste!$E$13,Preisliste!$F$13)</f>
        <v>H501001</v>
      </c>
      <c r="G426" s="988" t="str">
        <f>VLOOKUP("Dammbalken 50/200 exkl. Dichtung, gesägt und entgratet",Sprachindex!$A:$Z,Haftungsausschluß!$O$6,FALSE) &amp; " (" &amp; ROUNDUP(C426/1000*4.12,2) &amp; " " &amp; VLOOKUP("kg/Stk",Sprachindex!$A:$Z,Haftungsausschluß!$O$6,FALSE) &amp; ")" &amp; IF('Kalkulation 1'!$AH$33," " &amp; 'Kalkulation 1'!$R$9,"")</f>
        <v>Dammbalken 50/200 exkl. Dichtung, gesägt und entgratet (0 kg/Stk)</v>
      </c>
      <c r="H426" s="989"/>
      <c r="I426" s="989"/>
      <c r="J426" s="989"/>
      <c r="K426" s="989"/>
      <c r="L426" s="989"/>
      <c r="M426" s="990"/>
      <c r="N426" s="313"/>
      <c r="O426" s="426">
        <f t="shared" si="16"/>
        <v>0</v>
      </c>
      <c r="P426" s="286"/>
    </row>
    <row r="427" spans="2:16" ht="32.1" hidden="1" customHeight="1">
      <c r="B427" s="556"/>
      <c r="C427" s="312">
        <v>0</v>
      </c>
      <c r="D427" s="317">
        <f t="shared" si="15"/>
        <v>0</v>
      </c>
      <c r="E427" s="318" t="str">
        <f>VLOOKUP("[m]",Sprachindex!$A:$Z,Haftungsausschluß!$O$6,FALSE)</f>
        <v>[m]</v>
      </c>
      <c r="F427" s="318" t="str">
        <f>IF($L$14=1,Preisliste!$E$13,Preisliste!$F$13)</f>
        <v>H501001</v>
      </c>
      <c r="G427" s="988" t="str">
        <f>VLOOKUP("Dammbalken 50/200 exkl. Dichtung, gesägt und entgratet",Sprachindex!$A:$Z,Haftungsausschluß!$O$6,FALSE) &amp; " (" &amp; ROUNDUP(C427/1000*4.12,2) &amp; " " &amp; VLOOKUP("kg/Stk",Sprachindex!$A:$Z,Haftungsausschluß!$O$6,FALSE) &amp; ")" &amp; IF('Kalkulation 1'!$AH$33," " &amp; 'Kalkulation 1'!$R$9,"")</f>
        <v>Dammbalken 50/200 exkl. Dichtung, gesägt und entgratet (0 kg/Stk)</v>
      </c>
      <c r="H427" s="989"/>
      <c r="I427" s="989"/>
      <c r="J427" s="989"/>
      <c r="K427" s="989"/>
      <c r="L427" s="989"/>
      <c r="M427" s="990"/>
      <c r="N427" s="313"/>
      <c r="O427" s="426">
        <f t="shared" si="16"/>
        <v>0</v>
      </c>
      <c r="P427" s="286"/>
    </row>
    <row r="428" spans="2:16" ht="32.1" hidden="1" customHeight="1">
      <c r="B428" s="556"/>
      <c r="C428" s="312">
        <v>0</v>
      </c>
      <c r="D428" s="317">
        <f t="shared" si="15"/>
        <v>0</v>
      </c>
      <c r="E428" s="318" t="str">
        <f>VLOOKUP("[m]",Sprachindex!$A:$Z,Haftungsausschluß!$O$6,FALSE)</f>
        <v>[m]</v>
      </c>
      <c r="F428" s="318" t="str">
        <f>IF($L$14=1,Preisliste!$E$13,Preisliste!$F$13)</f>
        <v>H501001</v>
      </c>
      <c r="G428" s="988" t="str">
        <f>VLOOKUP("Dammbalken 50/200 exkl. Dichtung, gesägt und entgratet",Sprachindex!$A:$Z,Haftungsausschluß!$O$6,FALSE) &amp; " (" &amp; ROUNDUP(C428/1000*4.12,2) &amp; " " &amp; VLOOKUP("kg/Stk",Sprachindex!$A:$Z,Haftungsausschluß!$O$6,FALSE) &amp; ")" &amp; IF('Kalkulation 1'!$AH$33," " &amp; 'Kalkulation 1'!$R$9,"")</f>
        <v>Dammbalken 50/200 exkl. Dichtung, gesägt und entgratet (0 kg/Stk)</v>
      </c>
      <c r="H428" s="989"/>
      <c r="I428" s="989"/>
      <c r="J428" s="989"/>
      <c r="K428" s="989"/>
      <c r="L428" s="989"/>
      <c r="M428" s="990"/>
      <c r="N428" s="313"/>
      <c r="O428" s="426">
        <f t="shared" si="16"/>
        <v>0</v>
      </c>
      <c r="P428" s="286"/>
    </row>
    <row r="429" spans="2:16" ht="32.1" hidden="1" customHeight="1">
      <c r="B429" s="556"/>
      <c r="C429" s="312">
        <v>0</v>
      </c>
      <c r="D429" s="317">
        <f t="shared" si="15"/>
        <v>0</v>
      </c>
      <c r="E429" s="318" t="str">
        <f>VLOOKUP("[m]",Sprachindex!$A:$Z,Haftungsausschluß!$O$6,FALSE)</f>
        <v>[m]</v>
      </c>
      <c r="F429" s="318" t="str">
        <f>IF($L$14=1,Preisliste!$E$13,Preisliste!$F$13)</f>
        <v>H501001</v>
      </c>
      <c r="G429" s="988" t="str">
        <f>VLOOKUP("Dammbalken 50/200 exkl. Dichtung, gesägt und entgratet",Sprachindex!$A:$Z,Haftungsausschluß!$O$6,FALSE) &amp; " (" &amp; ROUNDUP(C429/1000*4.12,2) &amp; " " &amp; VLOOKUP("kg/Stk",Sprachindex!$A:$Z,Haftungsausschluß!$O$6,FALSE) &amp; ")" &amp; IF('Kalkulation 1'!$AH$33," " &amp; 'Kalkulation 1'!$R$9,"")</f>
        <v>Dammbalken 50/200 exkl. Dichtung, gesägt und entgratet (0 kg/Stk)</v>
      </c>
      <c r="H429" s="989"/>
      <c r="I429" s="989"/>
      <c r="J429" s="989"/>
      <c r="K429" s="989"/>
      <c r="L429" s="989"/>
      <c r="M429" s="990"/>
      <c r="N429" s="313"/>
      <c r="O429" s="426">
        <f t="shared" si="16"/>
        <v>0</v>
      </c>
      <c r="P429" s="286"/>
    </row>
    <row r="430" spans="2:16" ht="32.1" hidden="1" customHeight="1">
      <c r="B430" s="556"/>
      <c r="C430" s="312">
        <v>0</v>
      </c>
      <c r="D430" s="317">
        <f t="shared" si="15"/>
        <v>0</v>
      </c>
      <c r="E430" s="318" t="str">
        <f>VLOOKUP("[m]",Sprachindex!$A:$Z,Haftungsausschluß!$O$6,FALSE)</f>
        <v>[m]</v>
      </c>
      <c r="F430" s="318" t="str">
        <f>IF($L$14=1,Preisliste!$E$13,Preisliste!$F$13)</f>
        <v>H501001</v>
      </c>
      <c r="G430" s="988" t="str">
        <f>VLOOKUP("Dammbalken 50/200 exkl. Dichtung, gesägt und entgratet",Sprachindex!$A:$Z,Haftungsausschluß!$O$6,FALSE) &amp; " (" &amp; ROUNDUP(C430/1000*4.12,2) &amp; " " &amp; VLOOKUP("kg/Stk",Sprachindex!$A:$Z,Haftungsausschluß!$O$6,FALSE) &amp; ")" &amp; IF('Kalkulation 1'!$AH$33," " &amp; 'Kalkulation 1'!$R$9,"")</f>
        <v>Dammbalken 50/200 exkl. Dichtung, gesägt und entgratet (0 kg/Stk)</v>
      </c>
      <c r="H430" s="989"/>
      <c r="I430" s="989"/>
      <c r="J430" s="989"/>
      <c r="K430" s="989"/>
      <c r="L430" s="989"/>
      <c r="M430" s="990"/>
      <c r="N430" s="313"/>
      <c r="O430" s="426">
        <f t="shared" si="16"/>
        <v>0</v>
      </c>
      <c r="P430" s="286"/>
    </row>
    <row r="431" spans="2:16" ht="32.1" hidden="1" customHeight="1">
      <c r="B431" s="556"/>
      <c r="C431" s="312">
        <v>0</v>
      </c>
      <c r="D431" s="317">
        <f t="shared" si="15"/>
        <v>0</v>
      </c>
      <c r="E431" s="318" t="str">
        <f>VLOOKUP("[m]",Sprachindex!$A:$Z,Haftungsausschluß!$O$6,FALSE)</f>
        <v>[m]</v>
      </c>
      <c r="F431" s="318" t="str">
        <f>IF($L$14=1,Preisliste!$E$13,Preisliste!$F$13)</f>
        <v>H501001</v>
      </c>
      <c r="G431" s="988" t="str">
        <f>VLOOKUP("Dammbalken 50/200 exkl. Dichtung, gesägt und entgratet",Sprachindex!$A:$Z,Haftungsausschluß!$O$6,FALSE) &amp; " (" &amp; ROUNDUP(C431/1000*4.12,2) &amp; " " &amp; VLOOKUP("kg/Stk",Sprachindex!$A:$Z,Haftungsausschluß!$O$6,FALSE) &amp; ")" &amp; IF('Kalkulation 1'!$AH$33," " &amp; 'Kalkulation 1'!$R$9,"")</f>
        <v>Dammbalken 50/200 exkl. Dichtung, gesägt und entgratet (0 kg/Stk)</v>
      </c>
      <c r="H431" s="989"/>
      <c r="I431" s="989"/>
      <c r="J431" s="989"/>
      <c r="K431" s="989"/>
      <c r="L431" s="989"/>
      <c r="M431" s="990"/>
      <c r="N431" s="313"/>
      <c r="O431" s="426">
        <f t="shared" si="16"/>
        <v>0</v>
      </c>
      <c r="P431" s="286"/>
    </row>
    <row r="432" spans="2:16" ht="32.1" hidden="1" customHeight="1">
      <c r="B432" s="556"/>
      <c r="C432" s="312">
        <v>0</v>
      </c>
      <c r="D432" s="317">
        <f t="shared" si="15"/>
        <v>0</v>
      </c>
      <c r="E432" s="318" t="str">
        <f>VLOOKUP("[m]",Sprachindex!$A:$Z,Haftungsausschluß!$O$6,FALSE)</f>
        <v>[m]</v>
      </c>
      <c r="F432" s="318" t="str">
        <f>IF($L$14=1,Preisliste!$E$13,Preisliste!$F$13)</f>
        <v>H501001</v>
      </c>
      <c r="G432" s="988" t="str">
        <f>VLOOKUP("Dammbalken 50/200 exkl. Dichtung, gesägt und entgratet",Sprachindex!$A:$Z,Haftungsausschluß!$O$6,FALSE) &amp; " (" &amp; ROUNDUP(C432/1000*4.12,2) &amp; " " &amp; VLOOKUP("kg/Stk",Sprachindex!$A:$Z,Haftungsausschluß!$O$6,FALSE) &amp; ")" &amp; IF('Kalkulation 1'!$AH$33," " &amp; 'Kalkulation 1'!$R$9,"")</f>
        <v>Dammbalken 50/200 exkl. Dichtung, gesägt und entgratet (0 kg/Stk)</v>
      </c>
      <c r="H432" s="989"/>
      <c r="I432" s="989"/>
      <c r="J432" s="989"/>
      <c r="K432" s="989"/>
      <c r="L432" s="989"/>
      <c r="M432" s="990"/>
      <c r="N432" s="313"/>
      <c r="O432" s="426">
        <f t="shared" si="16"/>
        <v>0</v>
      </c>
      <c r="P432" s="286"/>
    </row>
    <row r="433" spans="2:16" ht="32.1" hidden="1" customHeight="1">
      <c r="B433" s="556"/>
      <c r="C433" s="312">
        <v>0</v>
      </c>
      <c r="D433" s="317">
        <f t="shared" si="15"/>
        <v>0</v>
      </c>
      <c r="E433" s="318" t="str">
        <f>VLOOKUP("[m]",Sprachindex!$A:$Z,Haftungsausschluß!$O$6,FALSE)</f>
        <v>[m]</v>
      </c>
      <c r="F433" s="318" t="str">
        <f>IF($L$14=1,Preisliste!$E$13,Preisliste!$F$13)</f>
        <v>H501001</v>
      </c>
      <c r="G433" s="988" t="str">
        <f>VLOOKUP("Dammbalken 50/200 exkl. Dichtung, gesägt und entgratet",Sprachindex!$A:$Z,Haftungsausschluß!$O$6,FALSE) &amp; " (" &amp; ROUNDUP(C433/1000*4.12,2) &amp; " " &amp; VLOOKUP("kg/Stk",Sprachindex!$A:$Z,Haftungsausschluß!$O$6,FALSE) &amp; ")" &amp; IF('Kalkulation 1'!$AH$33," " &amp; 'Kalkulation 1'!$R$9,"")</f>
        <v>Dammbalken 50/200 exkl. Dichtung, gesägt und entgratet (0 kg/Stk)</v>
      </c>
      <c r="H433" s="989"/>
      <c r="I433" s="989"/>
      <c r="J433" s="989"/>
      <c r="K433" s="989"/>
      <c r="L433" s="989"/>
      <c r="M433" s="990"/>
      <c r="N433" s="313"/>
      <c r="O433" s="426">
        <f t="shared" si="16"/>
        <v>0</v>
      </c>
      <c r="P433" s="286"/>
    </row>
    <row r="434" spans="2:16" ht="32.1" hidden="1" customHeight="1">
      <c r="B434" s="556"/>
      <c r="C434" s="312">
        <v>0</v>
      </c>
      <c r="D434" s="317">
        <f t="shared" si="15"/>
        <v>0</v>
      </c>
      <c r="E434" s="318" t="str">
        <f>VLOOKUP("[m]",Sprachindex!$A:$Z,Haftungsausschluß!$O$6,FALSE)</f>
        <v>[m]</v>
      </c>
      <c r="F434" s="318" t="str">
        <f>IF($L$14=1,Preisliste!$E$13,Preisliste!$F$13)</f>
        <v>H501001</v>
      </c>
      <c r="G434" s="988" t="str">
        <f>VLOOKUP("Dammbalken 50/200 exkl. Dichtung, gesägt und entgratet",Sprachindex!$A:$Z,Haftungsausschluß!$O$6,FALSE) &amp; " (" &amp; ROUNDUP(C434/1000*4.12,2) &amp; " " &amp; VLOOKUP("kg/Stk",Sprachindex!$A:$Z,Haftungsausschluß!$O$6,FALSE) &amp; ")" &amp; IF('Kalkulation 1'!$AH$33," " &amp; 'Kalkulation 1'!$R$9,"")</f>
        <v>Dammbalken 50/200 exkl. Dichtung, gesägt und entgratet (0 kg/Stk)</v>
      </c>
      <c r="H434" s="989"/>
      <c r="I434" s="989"/>
      <c r="J434" s="989"/>
      <c r="K434" s="989"/>
      <c r="L434" s="989"/>
      <c r="M434" s="990"/>
      <c r="N434" s="313"/>
      <c r="O434" s="426">
        <f t="shared" si="16"/>
        <v>0</v>
      </c>
      <c r="P434" s="286"/>
    </row>
    <row r="435" spans="2:16" ht="32.1" hidden="1" customHeight="1">
      <c r="B435" s="556"/>
      <c r="C435" s="312">
        <v>0</v>
      </c>
      <c r="D435" s="317">
        <f t="shared" si="15"/>
        <v>0</v>
      </c>
      <c r="E435" s="318" t="str">
        <f>VLOOKUP("[m]",Sprachindex!$A:$Z,Haftungsausschluß!$O$6,FALSE)</f>
        <v>[m]</v>
      </c>
      <c r="F435" s="318" t="str">
        <f>IF($L$14=1,Preisliste!$E$13,Preisliste!$F$13)</f>
        <v>H501001</v>
      </c>
      <c r="G435" s="988" t="str">
        <f>VLOOKUP("Dammbalken 50/200 exkl. Dichtung, gesägt und entgratet",Sprachindex!$A:$Z,Haftungsausschluß!$O$6,FALSE) &amp; " (" &amp; ROUNDUP(C435/1000*4.12,2) &amp; " " &amp; VLOOKUP("kg/Stk",Sprachindex!$A:$Z,Haftungsausschluß!$O$6,FALSE) &amp; ")" &amp; IF('Kalkulation 1'!$AH$33," " &amp; 'Kalkulation 1'!$R$9,"")</f>
        <v>Dammbalken 50/200 exkl. Dichtung, gesägt und entgratet (0 kg/Stk)</v>
      </c>
      <c r="H435" s="989"/>
      <c r="I435" s="989"/>
      <c r="J435" s="989"/>
      <c r="K435" s="989"/>
      <c r="L435" s="989"/>
      <c r="M435" s="990"/>
      <c r="N435" s="313"/>
      <c r="O435" s="426">
        <f t="shared" si="16"/>
        <v>0</v>
      </c>
      <c r="P435" s="286"/>
    </row>
    <row r="436" spans="2:16" ht="32.1" hidden="1" customHeight="1">
      <c r="B436" s="556"/>
      <c r="C436" s="312">
        <v>0</v>
      </c>
      <c r="D436" s="317">
        <f t="shared" si="15"/>
        <v>0</v>
      </c>
      <c r="E436" s="318" t="str">
        <f>VLOOKUP("[m]",Sprachindex!$A:$Z,Haftungsausschluß!$O$6,FALSE)</f>
        <v>[m]</v>
      </c>
      <c r="F436" s="318" t="str">
        <f>IF($L$14=1,Preisliste!$E$13,Preisliste!$F$13)</f>
        <v>H501001</v>
      </c>
      <c r="G436" s="988" t="str">
        <f>VLOOKUP("Dammbalken 50/200 exkl. Dichtung, gesägt und entgratet",Sprachindex!$A:$Z,Haftungsausschluß!$O$6,FALSE) &amp; " (" &amp; ROUNDUP(C436/1000*4.12,2) &amp; " " &amp; VLOOKUP("kg/Stk",Sprachindex!$A:$Z,Haftungsausschluß!$O$6,FALSE) &amp; ")" &amp; IF('Kalkulation 1'!$AH$33," " &amp; 'Kalkulation 1'!$R$9,"")</f>
        <v>Dammbalken 50/200 exkl. Dichtung, gesägt und entgratet (0 kg/Stk)</v>
      </c>
      <c r="H436" s="989"/>
      <c r="I436" s="989"/>
      <c r="J436" s="989"/>
      <c r="K436" s="989"/>
      <c r="L436" s="989"/>
      <c r="M436" s="990"/>
      <c r="N436" s="313"/>
      <c r="O436" s="426">
        <f t="shared" si="16"/>
        <v>0</v>
      </c>
      <c r="P436" s="286"/>
    </row>
    <row r="437" spans="2:16" ht="32.1" hidden="1" customHeight="1">
      <c r="B437" s="556"/>
      <c r="C437" s="312">
        <v>0</v>
      </c>
      <c r="D437" s="317">
        <f t="shared" si="15"/>
        <v>0</v>
      </c>
      <c r="E437" s="318" t="str">
        <f>VLOOKUP("[m]",Sprachindex!$A:$Z,Haftungsausschluß!$O$6,FALSE)</f>
        <v>[m]</v>
      </c>
      <c r="F437" s="318" t="str">
        <f>IF($L$14=1,Preisliste!$E$13,Preisliste!$F$13)</f>
        <v>H501001</v>
      </c>
      <c r="G437" s="988" t="str">
        <f>VLOOKUP("Dammbalken 50/200 exkl. Dichtung, gesägt und entgratet",Sprachindex!$A:$Z,Haftungsausschluß!$O$6,FALSE) &amp; " (" &amp; ROUNDUP(C437/1000*4.12,2) &amp; " " &amp; VLOOKUP("kg/Stk",Sprachindex!$A:$Z,Haftungsausschluß!$O$6,FALSE) &amp; ")" &amp; IF('Kalkulation 1'!$AH$33," " &amp; 'Kalkulation 1'!$R$9,"")</f>
        <v>Dammbalken 50/200 exkl. Dichtung, gesägt und entgratet (0 kg/Stk)</v>
      </c>
      <c r="H437" s="989"/>
      <c r="I437" s="989"/>
      <c r="J437" s="989"/>
      <c r="K437" s="989"/>
      <c r="L437" s="989"/>
      <c r="M437" s="990"/>
      <c r="N437" s="313"/>
      <c r="O437" s="426">
        <f t="shared" si="16"/>
        <v>0</v>
      </c>
      <c r="P437" s="286"/>
    </row>
    <row r="438" spans="2:16" ht="32.1" hidden="1" customHeight="1">
      <c r="B438" s="556"/>
      <c r="C438" s="312">
        <v>0</v>
      </c>
      <c r="D438" s="317">
        <f t="shared" si="15"/>
        <v>0</v>
      </c>
      <c r="E438" s="318" t="str">
        <f>VLOOKUP("[m]",Sprachindex!$A:$Z,Haftungsausschluß!$O$6,FALSE)</f>
        <v>[m]</v>
      </c>
      <c r="F438" s="318" t="str">
        <f>IF($L$14=1,Preisliste!$E$13,Preisliste!$F$13)</f>
        <v>H501001</v>
      </c>
      <c r="G438" s="988" t="str">
        <f>VLOOKUP("Dammbalken 50/200 exkl. Dichtung, gesägt und entgratet",Sprachindex!$A:$Z,Haftungsausschluß!$O$6,FALSE) &amp; " (" &amp; ROUNDUP(C438/1000*4.12,2) &amp; " " &amp; VLOOKUP("kg/Stk",Sprachindex!$A:$Z,Haftungsausschluß!$O$6,FALSE) &amp; ")" &amp; IF('Kalkulation 1'!$AH$33," " &amp; 'Kalkulation 1'!$R$9,"")</f>
        <v>Dammbalken 50/200 exkl. Dichtung, gesägt und entgratet (0 kg/Stk)</v>
      </c>
      <c r="H438" s="989"/>
      <c r="I438" s="989"/>
      <c r="J438" s="989"/>
      <c r="K438" s="989"/>
      <c r="L438" s="989"/>
      <c r="M438" s="990"/>
      <c r="N438" s="313"/>
      <c r="O438" s="426">
        <f t="shared" si="16"/>
        <v>0</v>
      </c>
      <c r="P438" s="286"/>
    </row>
    <row r="439" spans="2:16" ht="32.1" hidden="1" customHeight="1">
      <c r="B439" s="556"/>
      <c r="C439" s="312">
        <v>0</v>
      </c>
      <c r="D439" s="317">
        <f t="shared" si="15"/>
        <v>0</v>
      </c>
      <c r="E439" s="318" t="str">
        <f>VLOOKUP("[m]",Sprachindex!$A:$Z,Haftungsausschluß!$O$6,FALSE)</f>
        <v>[m]</v>
      </c>
      <c r="F439" s="318" t="str">
        <f>IF($L$14=1,Preisliste!$E$13,Preisliste!$F$13)</f>
        <v>H501001</v>
      </c>
      <c r="G439" s="988" t="str">
        <f>VLOOKUP("Dammbalken 50/200 exkl. Dichtung, gesägt und entgratet",Sprachindex!$A:$Z,Haftungsausschluß!$O$6,FALSE) &amp; " (" &amp; ROUNDUP(C439/1000*4.12,2) &amp; " " &amp; VLOOKUP("kg/Stk",Sprachindex!$A:$Z,Haftungsausschluß!$O$6,FALSE) &amp; ")" &amp; IF('Kalkulation 1'!$AH$33," " &amp; 'Kalkulation 1'!$R$9,"")</f>
        <v>Dammbalken 50/200 exkl. Dichtung, gesägt und entgratet (0 kg/Stk)</v>
      </c>
      <c r="H439" s="989"/>
      <c r="I439" s="989"/>
      <c r="J439" s="989"/>
      <c r="K439" s="989"/>
      <c r="L439" s="989"/>
      <c r="M439" s="990"/>
      <c r="N439" s="313"/>
      <c r="O439" s="426">
        <f t="shared" si="16"/>
        <v>0</v>
      </c>
      <c r="P439" s="286"/>
    </row>
    <row r="440" spans="2:16" ht="32.1" hidden="1" customHeight="1">
      <c r="B440" s="556"/>
      <c r="C440" s="312">
        <v>0</v>
      </c>
      <c r="D440" s="317">
        <f t="shared" si="15"/>
        <v>0</v>
      </c>
      <c r="E440" s="318" t="str">
        <f>VLOOKUP("[m]",Sprachindex!$A:$Z,Haftungsausschluß!$O$6,FALSE)</f>
        <v>[m]</v>
      </c>
      <c r="F440" s="318" t="str">
        <f>IF($L$14=1,Preisliste!$E$13,Preisliste!$F$13)</f>
        <v>H501001</v>
      </c>
      <c r="G440" s="988" t="str">
        <f>VLOOKUP("Dammbalken 50/200 exkl. Dichtung, gesägt und entgratet",Sprachindex!$A:$Z,Haftungsausschluß!$O$6,FALSE) &amp; " (" &amp; ROUNDUP(C440/1000*4.12,2) &amp; " " &amp; VLOOKUP("kg/Stk",Sprachindex!$A:$Z,Haftungsausschluß!$O$6,FALSE) &amp; ")" &amp; IF('Kalkulation 1'!$AH$33," " &amp; 'Kalkulation 1'!$R$9,"")</f>
        <v>Dammbalken 50/200 exkl. Dichtung, gesägt und entgratet (0 kg/Stk)</v>
      </c>
      <c r="H440" s="989"/>
      <c r="I440" s="989"/>
      <c r="J440" s="989"/>
      <c r="K440" s="989"/>
      <c r="L440" s="989"/>
      <c r="M440" s="990"/>
      <c r="N440" s="313"/>
      <c r="O440" s="426">
        <f t="shared" si="16"/>
        <v>0</v>
      </c>
      <c r="P440" s="286"/>
    </row>
    <row r="441" spans="2:16" ht="32.1" hidden="1" customHeight="1">
      <c r="B441" s="556"/>
      <c r="C441" s="312">
        <v>0</v>
      </c>
      <c r="D441" s="317">
        <f t="shared" si="15"/>
        <v>0</v>
      </c>
      <c r="E441" s="318" t="str">
        <f>VLOOKUP("[m]",Sprachindex!$A:$Z,Haftungsausschluß!$O$6,FALSE)</f>
        <v>[m]</v>
      </c>
      <c r="F441" s="318" t="str">
        <f>IF($L$14=1,Preisliste!$E$13,Preisliste!$F$13)</f>
        <v>H501001</v>
      </c>
      <c r="G441" s="988" t="str">
        <f>VLOOKUP("Dammbalken 50/200 exkl. Dichtung, gesägt und entgratet",Sprachindex!$A:$Z,Haftungsausschluß!$O$6,FALSE) &amp; " (" &amp; ROUNDUP(C441/1000*4.12,2) &amp; " " &amp; VLOOKUP("kg/Stk",Sprachindex!$A:$Z,Haftungsausschluß!$O$6,FALSE) &amp; ")" &amp; IF('Kalkulation 1'!$AH$33," " &amp; 'Kalkulation 1'!$R$9,"")</f>
        <v>Dammbalken 50/200 exkl. Dichtung, gesägt und entgratet (0 kg/Stk)</v>
      </c>
      <c r="H441" s="989"/>
      <c r="I441" s="989"/>
      <c r="J441" s="989"/>
      <c r="K441" s="989"/>
      <c r="L441" s="989"/>
      <c r="M441" s="990"/>
      <c r="N441" s="313"/>
      <c r="O441" s="426">
        <f t="shared" si="16"/>
        <v>0</v>
      </c>
      <c r="P441" s="286"/>
    </row>
    <row r="442" spans="2:16" ht="32.1" hidden="1" customHeight="1">
      <c r="B442" s="556"/>
      <c r="C442" s="312">
        <v>0</v>
      </c>
      <c r="D442" s="317">
        <f t="shared" si="15"/>
        <v>0</v>
      </c>
      <c r="E442" s="318" t="str">
        <f>VLOOKUP("[m]",Sprachindex!$A:$Z,Haftungsausschluß!$O$6,FALSE)</f>
        <v>[m]</v>
      </c>
      <c r="F442" s="318" t="str">
        <f>IF($L$14=1,Preisliste!$E$13,Preisliste!$F$13)</f>
        <v>H501001</v>
      </c>
      <c r="G442" s="988" t="str">
        <f>VLOOKUP("Dammbalken 50/200 exkl. Dichtung, gesägt und entgratet",Sprachindex!$A:$Z,Haftungsausschluß!$O$6,FALSE) &amp; " (" &amp; ROUNDUP(C442/1000*4.12,2) &amp; " " &amp; VLOOKUP("kg/Stk",Sprachindex!$A:$Z,Haftungsausschluß!$O$6,FALSE) &amp; ")" &amp; IF('Kalkulation 1'!$AH$33," " &amp; 'Kalkulation 1'!$R$9,"")</f>
        <v>Dammbalken 50/200 exkl. Dichtung, gesägt und entgratet (0 kg/Stk)</v>
      </c>
      <c r="H442" s="989"/>
      <c r="I442" s="989"/>
      <c r="J442" s="989"/>
      <c r="K442" s="989"/>
      <c r="L442" s="989"/>
      <c r="M442" s="990"/>
      <c r="N442" s="313"/>
      <c r="O442" s="426">
        <f t="shared" si="16"/>
        <v>0</v>
      </c>
      <c r="P442" s="286"/>
    </row>
    <row r="443" spans="2:16" ht="32.1" hidden="1" customHeight="1">
      <c r="B443" s="556"/>
      <c r="C443" s="312">
        <v>0</v>
      </c>
      <c r="D443" s="317">
        <f t="shared" si="15"/>
        <v>0</v>
      </c>
      <c r="E443" s="318" t="str">
        <f>VLOOKUP("[m]",Sprachindex!$A:$Z,Haftungsausschluß!$O$6,FALSE)</f>
        <v>[m]</v>
      </c>
      <c r="F443" s="318" t="str">
        <f>IF($L$14=1,Preisliste!$E$13,Preisliste!$F$13)</f>
        <v>H501001</v>
      </c>
      <c r="G443" s="988" t="str">
        <f>VLOOKUP("Dammbalken 50/200 exkl. Dichtung, gesägt und entgratet",Sprachindex!$A:$Z,Haftungsausschluß!$O$6,FALSE) &amp; " (" &amp; ROUNDUP(C443/1000*4.12,2) &amp; " " &amp; VLOOKUP("kg/Stk",Sprachindex!$A:$Z,Haftungsausschluß!$O$6,FALSE) &amp; ")" &amp; IF('Kalkulation 1'!$AH$33," " &amp; 'Kalkulation 1'!$R$9,"")</f>
        <v>Dammbalken 50/200 exkl. Dichtung, gesägt und entgratet (0 kg/Stk)</v>
      </c>
      <c r="H443" s="989"/>
      <c r="I443" s="989"/>
      <c r="J443" s="989"/>
      <c r="K443" s="989"/>
      <c r="L443" s="989"/>
      <c r="M443" s="990"/>
      <c r="N443" s="313"/>
      <c r="O443" s="426">
        <f t="shared" si="16"/>
        <v>0</v>
      </c>
      <c r="P443" s="286"/>
    </row>
    <row r="444" spans="2:16" ht="32.1" hidden="1" customHeight="1">
      <c r="B444" s="556"/>
      <c r="C444" s="312">
        <v>0</v>
      </c>
      <c r="D444" s="317">
        <f t="shared" si="15"/>
        <v>0</v>
      </c>
      <c r="E444" s="318" t="str">
        <f>VLOOKUP("[m]",Sprachindex!$A:$Z,Haftungsausschluß!$O$6,FALSE)</f>
        <v>[m]</v>
      </c>
      <c r="F444" s="318" t="str">
        <f>IF($L$14=1,Preisliste!$E$13,Preisliste!$F$13)</f>
        <v>H501001</v>
      </c>
      <c r="G444" s="988" t="str">
        <f>VLOOKUP("Dammbalken 50/200 exkl. Dichtung, gesägt und entgratet",Sprachindex!$A:$Z,Haftungsausschluß!$O$6,FALSE) &amp; " (" &amp; ROUNDUP(C444/1000*4.12,2) &amp; " " &amp; VLOOKUP("kg/Stk",Sprachindex!$A:$Z,Haftungsausschluß!$O$6,FALSE) &amp; ")" &amp; IF('Kalkulation 1'!$AH$33," " &amp; 'Kalkulation 1'!$R$9,"")</f>
        <v>Dammbalken 50/200 exkl. Dichtung, gesägt und entgratet (0 kg/Stk)</v>
      </c>
      <c r="H444" s="989"/>
      <c r="I444" s="989"/>
      <c r="J444" s="989"/>
      <c r="K444" s="989"/>
      <c r="L444" s="989"/>
      <c r="M444" s="990"/>
      <c r="N444" s="313"/>
      <c r="O444" s="426">
        <f t="shared" si="16"/>
        <v>0</v>
      </c>
      <c r="P444" s="286"/>
    </row>
    <row r="445" spans="2:16" ht="32.1" hidden="1" customHeight="1">
      <c r="B445" s="556"/>
      <c r="C445" s="312">
        <v>0</v>
      </c>
      <c r="D445" s="317">
        <f t="shared" si="15"/>
        <v>0</v>
      </c>
      <c r="E445" s="318" t="str">
        <f>VLOOKUP("[m]",Sprachindex!$A:$Z,Haftungsausschluß!$O$6,FALSE)</f>
        <v>[m]</v>
      </c>
      <c r="F445" s="318" t="str">
        <f>IF($L$14=1,Preisliste!$E$13,Preisliste!$F$13)</f>
        <v>H501001</v>
      </c>
      <c r="G445" s="988" t="str">
        <f>VLOOKUP("Dammbalken 50/200 exkl. Dichtung, gesägt und entgratet",Sprachindex!$A:$Z,Haftungsausschluß!$O$6,FALSE) &amp; " (" &amp; ROUNDUP(C445/1000*4.12,2) &amp; " " &amp; VLOOKUP("kg/Stk",Sprachindex!$A:$Z,Haftungsausschluß!$O$6,FALSE) &amp; ")" &amp; IF('Kalkulation 1'!$AH$33," " &amp; 'Kalkulation 1'!$R$9,"")</f>
        <v>Dammbalken 50/200 exkl. Dichtung, gesägt und entgratet (0 kg/Stk)</v>
      </c>
      <c r="H445" s="989"/>
      <c r="I445" s="989"/>
      <c r="J445" s="989"/>
      <c r="K445" s="989"/>
      <c r="L445" s="989"/>
      <c r="M445" s="990"/>
      <c r="N445" s="313"/>
      <c r="O445" s="426">
        <f t="shared" si="16"/>
        <v>0</v>
      </c>
      <c r="P445" s="286"/>
    </row>
    <row r="446" spans="2:16" ht="32.1" hidden="1" customHeight="1">
      <c r="B446" s="556"/>
      <c r="C446" s="312">
        <v>0</v>
      </c>
      <c r="D446" s="317">
        <f t="shared" si="15"/>
        <v>0</v>
      </c>
      <c r="E446" s="318" t="str">
        <f>VLOOKUP("[m]",Sprachindex!$A:$Z,Haftungsausschluß!$O$6,FALSE)</f>
        <v>[m]</v>
      </c>
      <c r="F446" s="318" t="str">
        <f>IF($L$14=1,Preisliste!$E$13,Preisliste!$F$13)</f>
        <v>H501001</v>
      </c>
      <c r="G446" s="988" t="str">
        <f>VLOOKUP("Dammbalken 50/200 exkl. Dichtung, gesägt und entgratet",Sprachindex!$A:$Z,Haftungsausschluß!$O$6,FALSE) &amp; " (" &amp; ROUNDUP(C446/1000*4.12,2) &amp; " " &amp; VLOOKUP("kg/Stk",Sprachindex!$A:$Z,Haftungsausschluß!$O$6,FALSE) &amp; ")" &amp; IF('Kalkulation 1'!$AH$33," " &amp; 'Kalkulation 1'!$R$9,"")</f>
        <v>Dammbalken 50/200 exkl. Dichtung, gesägt und entgratet (0 kg/Stk)</v>
      </c>
      <c r="H446" s="989"/>
      <c r="I446" s="989"/>
      <c r="J446" s="989"/>
      <c r="K446" s="989"/>
      <c r="L446" s="989"/>
      <c r="M446" s="990"/>
      <c r="N446" s="313"/>
      <c r="O446" s="426">
        <f t="shared" si="16"/>
        <v>0</v>
      </c>
      <c r="P446" s="286"/>
    </row>
    <row r="447" spans="2:16" ht="32.1" hidden="1" customHeight="1">
      <c r="B447" s="556"/>
      <c r="C447" s="312">
        <v>0</v>
      </c>
      <c r="D447" s="317">
        <f t="shared" si="15"/>
        <v>0</v>
      </c>
      <c r="E447" s="318" t="str">
        <f>VLOOKUP("[m]",Sprachindex!$A:$Z,Haftungsausschluß!$O$6,FALSE)</f>
        <v>[m]</v>
      </c>
      <c r="F447" s="318" t="str">
        <f>IF($L$14=1,Preisliste!$E$13,Preisliste!$F$13)</f>
        <v>H501001</v>
      </c>
      <c r="G447" s="988" t="str">
        <f>VLOOKUP("Dammbalken 50/200 exkl. Dichtung, gesägt und entgratet",Sprachindex!$A:$Z,Haftungsausschluß!$O$6,FALSE) &amp; " (" &amp; ROUNDUP(C447/1000*4.12,2) &amp; " " &amp; VLOOKUP("kg/Stk",Sprachindex!$A:$Z,Haftungsausschluß!$O$6,FALSE) &amp; ")" &amp; IF('Kalkulation 1'!$AH$33," " &amp; 'Kalkulation 1'!$R$9,"")</f>
        <v>Dammbalken 50/200 exkl. Dichtung, gesägt und entgratet (0 kg/Stk)</v>
      </c>
      <c r="H447" s="989"/>
      <c r="I447" s="989"/>
      <c r="J447" s="989"/>
      <c r="K447" s="989"/>
      <c r="L447" s="989"/>
      <c r="M447" s="990"/>
      <c r="N447" s="313"/>
      <c r="O447" s="426">
        <f t="shared" si="16"/>
        <v>0</v>
      </c>
      <c r="P447" s="286"/>
    </row>
    <row r="448" spans="2:16" ht="32.1" hidden="1" customHeight="1">
      <c r="B448" s="556"/>
      <c r="C448" s="312">
        <v>0</v>
      </c>
      <c r="D448" s="317">
        <f t="shared" si="15"/>
        <v>0</v>
      </c>
      <c r="E448" s="318" t="str">
        <f>VLOOKUP("[m]",Sprachindex!$A:$Z,Haftungsausschluß!$O$6,FALSE)</f>
        <v>[m]</v>
      </c>
      <c r="F448" s="318" t="str">
        <f>IF($L$14=1,Preisliste!$E$13,Preisliste!$F$13)</f>
        <v>H501001</v>
      </c>
      <c r="G448" s="988" t="str">
        <f>VLOOKUP("Dammbalken 50/200 exkl. Dichtung, gesägt und entgratet",Sprachindex!$A:$Z,Haftungsausschluß!$O$6,FALSE) &amp; " (" &amp; ROUNDUP(C448/1000*4.12,2) &amp; " " &amp; VLOOKUP("kg/Stk",Sprachindex!$A:$Z,Haftungsausschluß!$O$6,FALSE) &amp; ")" &amp; IF('Kalkulation 1'!$AH$33," " &amp; 'Kalkulation 1'!$R$9,"")</f>
        <v>Dammbalken 50/200 exkl. Dichtung, gesägt und entgratet (0 kg/Stk)</v>
      </c>
      <c r="H448" s="989"/>
      <c r="I448" s="989"/>
      <c r="J448" s="989"/>
      <c r="K448" s="989"/>
      <c r="L448" s="989"/>
      <c r="M448" s="990"/>
      <c r="N448" s="313"/>
      <c r="O448" s="426">
        <f t="shared" si="16"/>
        <v>0</v>
      </c>
      <c r="P448" s="286"/>
    </row>
    <row r="449" spans="2:16" ht="32.1" hidden="1" customHeight="1">
      <c r="B449" s="556"/>
      <c r="C449" s="312">
        <v>0</v>
      </c>
      <c r="D449" s="317">
        <f t="shared" si="15"/>
        <v>0</v>
      </c>
      <c r="E449" s="318" t="str">
        <f>VLOOKUP("[m]",Sprachindex!$A:$Z,Haftungsausschluß!$O$6,FALSE)</f>
        <v>[m]</v>
      </c>
      <c r="F449" s="318" t="str">
        <f>IF($L$14=1,Preisliste!$E$13,Preisliste!$F$13)</f>
        <v>H501001</v>
      </c>
      <c r="G449" s="988" t="str">
        <f>VLOOKUP("Dammbalken 50/200 exkl. Dichtung, gesägt und entgratet",Sprachindex!$A:$Z,Haftungsausschluß!$O$6,FALSE) &amp; " (" &amp; ROUNDUP(C449/1000*4.12,2) &amp; " " &amp; VLOOKUP("kg/Stk",Sprachindex!$A:$Z,Haftungsausschluß!$O$6,FALSE) &amp; ")" &amp; IF('Kalkulation 1'!$AH$33," " &amp; 'Kalkulation 1'!$R$9,"")</f>
        <v>Dammbalken 50/200 exkl. Dichtung, gesägt und entgratet (0 kg/Stk)</v>
      </c>
      <c r="H449" s="989"/>
      <c r="I449" s="989"/>
      <c r="J449" s="989"/>
      <c r="K449" s="989"/>
      <c r="L449" s="989"/>
      <c r="M449" s="990"/>
      <c r="N449" s="313"/>
      <c r="O449" s="426">
        <f t="shared" si="16"/>
        <v>0</v>
      </c>
      <c r="P449" s="286"/>
    </row>
    <row r="450" spans="2:16" ht="32.1" hidden="1" customHeight="1">
      <c r="B450" s="556"/>
      <c r="C450" s="312">
        <v>0</v>
      </c>
      <c r="D450" s="317">
        <f t="shared" si="15"/>
        <v>0</v>
      </c>
      <c r="E450" s="318" t="str">
        <f>VLOOKUP("[m]",Sprachindex!$A:$Z,Haftungsausschluß!$O$6,FALSE)</f>
        <v>[m]</v>
      </c>
      <c r="F450" s="318" t="str">
        <f>IF($L$14=1,Preisliste!$E$13,Preisliste!$F$13)</f>
        <v>H501001</v>
      </c>
      <c r="G450" s="988" t="str">
        <f>VLOOKUP("Dammbalken 50/200 exkl. Dichtung, gesägt und entgratet",Sprachindex!$A:$Z,Haftungsausschluß!$O$6,FALSE) &amp; " (" &amp; ROUNDUP(C450/1000*4.12,2) &amp; " " &amp; VLOOKUP("kg/Stk",Sprachindex!$A:$Z,Haftungsausschluß!$O$6,FALSE) &amp; ")" &amp; IF('Kalkulation 1'!$AH$33," " &amp; 'Kalkulation 1'!$R$9,"")</f>
        <v>Dammbalken 50/200 exkl. Dichtung, gesägt und entgratet (0 kg/Stk)</v>
      </c>
      <c r="H450" s="989"/>
      <c r="I450" s="989"/>
      <c r="J450" s="989"/>
      <c r="K450" s="989"/>
      <c r="L450" s="989"/>
      <c r="M450" s="990"/>
      <c r="N450" s="313"/>
      <c r="O450" s="426">
        <f t="shared" si="16"/>
        <v>0</v>
      </c>
      <c r="P450" s="286"/>
    </row>
    <row r="451" spans="2:16" ht="32.1" hidden="1" customHeight="1">
      <c r="B451" s="556"/>
      <c r="C451" s="312">
        <v>0</v>
      </c>
      <c r="D451" s="317">
        <f t="shared" si="15"/>
        <v>0</v>
      </c>
      <c r="E451" s="318" t="str">
        <f>VLOOKUP("[m]",Sprachindex!$A:$Z,Haftungsausschluß!$O$6,FALSE)</f>
        <v>[m]</v>
      </c>
      <c r="F451" s="318" t="str">
        <f>IF($L$14=1,Preisliste!$E$13,Preisliste!$F$13)</f>
        <v>H501001</v>
      </c>
      <c r="G451" s="988" t="str">
        <f>VLOOKUP("Dammbalken 50/200 exkl. Dichtung, gesägt und entgratet",Sprachindex!$A:$Z,Haftungsausschluß!$O$6,FALSE) &amp; " (" &amp; ROUNDUP(C451/1000*4.12,2) &amp; " " &amp; VLOOKUP("kg/Stk",Sprachindex!$A:$Z,Haftungsausschluß!$O$6,FALSE) &amp; ")" &amp; IF('Kalkulation 1'!$AH$33," " &amp; 'Kalkulation 1'!$R$9,"")</f>
        <v>Dammbalken 50/200 exkl. Dichtung, gesägt und entgratet (0 kg/Stk)</v>
      </c>
      <c r="H451" s="989"/>
      <c r="I451" s="989"/>
      <c r="J451" s="989"/>
      <c r="K451" s="989"/>
      <c r="L451" s="989"/>
      <c r="M451" s="990"/>
      <c r="N451" s="313"/>
      <c r="O451" s="426">
        <f t="shared" si="16"/>
        <v>0</v>
      </c>
      <c r="P451" s="286"/>
    </row>
    <row r="452" spans="2:16" ht="32.1" hidden="1" customHeight="1">
      <c r="B452" s="556"/>
      <c r="C452" s="312">
        <v>0</v>
      </c>
      <c r="D452" s="317">
        <f t="shared" si="15"/>
        <v>0</v>
      </c>
      <c r="E452" s="318" t="str">
        <f>VLOOKUP("[m]",Sprachindex!$A:$Z,Haftungsausschluß!$O$6,FALSE)</f>
        <v>[m]</v>
      </c>
      <c r="F452" s="318" t="str">
        <f>IF($L$14=1,Preisliste!$E$13,Preisliste!$F$13)</f>
        <v>H501001</v>
      </c>
      <c r="G452" s="988" t="str">
        <f>VLOOKUP("Dammbalken 50/200 exkl. Dichtung, gesägt und entgratet",Sprachindex!$A:$Z,Haftungsausschluß!$O$6,FALSE) &amp; " (" &amp; ROUNDUP(C452/1000*4.12,2) &amp; " " &amp; VLOOKUP("kg/Stk",Sprachindex!$A:$Z,Haftungsausschluß!$O$6,FALSE) &amp; ")" &amp; IF('Kalkulation 1'!$AH$33," " &amp; 'Kalkulation 1'!$R$9,"")</f>
        <v>Dammbalken 50/200 exkl. Dichtung, gesägt und entgratet (0 kg/Stk)</v>
      </c>
      <c r="H452" s="989"/>
      <c r="I452" s="989"/>
      <c r="J452" s="989"/>
      <c r="K452" s="989"/>
      <c r="L452" s="989"/>
      <c r="M452" s="990"/>
      <c r="N452" s="313"/>
      <c r="O452" s="426">
        <f t="shared" si="16"/>
        <v>0</v>
      </c>
      <c r="P452" s="286"/>
    </row>
    <row r="453" spans="2:16" ht="32.1" hidden="1" customHeight="1">
      <c r="B453" s="556"/>
      <c r="C453" s="312">
        <v>0</v>
      </c>
      <c r="D453" s="317">
        <f t="shared" si="15"/>
        <v>0</v>
      </c>
      <c r="E453" s="318" t="str">
        <f>VLOOKUP("[m]",Sprachindex!$A:$Z,Haftungsausschluß!$O$6,FALSE)</f>
        <v>[m]</v>
      </c>
      <c r="F453" s="318" t="str">
        <f>IF($L$14=1,Preisliste!$E$13,Preisliste!$F$13)</f>
        <v>H501001</v>
      </c>
      <c r="G453" s="988" t="str">
        <f>VLOOKUP("Dammbalken 50/200 exkl. Dichtung, gesägt und entgratet",Sprachindex!$A:$Z,Haftungsausschluß!$O$6,FALSE) &amp; " (" &amp; ROUNDUP(C453/1000*4.12,2) &amp; " " &amp; VLOOKUP("kg/Stk",Sprachindex!$A:$Z,Haftungsausschluß!$O$6,FALSE) &amp; ")" &amp; IF('Kalkulation 1'!$AH$33," " &amp; 'Kalkulation 1'!$R$9,"")</f>
        <v>Dammbalken 50/200 exkl. Dichtung, gesägt und entgratet (0 kg/Stk)</v>
      </c>
      <c r="H453" s="989"/>
      <c r="I453" s="989"/>
      <c r="J453" s="989"/>
      <c r="K453" s="989"/>
      <c r="L453" s="989"/>
      <c r="M453" s="990"/>
      <c r="N453" s="313"/>
      <c r="O453" s="426">
        <f t="shared" si="16"/>
        <v>0</v>
      </c>
      <c r="P453" s="286"/>
    </row>
    <row r="454" spans="2:16" ht="32.1" hidden="1" customHeight="1">
      <c r="B454" s="556"/>
      <c r="C454" s="312">
        <v>0</v>
      </c>
      <c r="D454" s="317">
        <f t="shared" si="15"/>
        <v>0</v>
      </c>
      <c r="E454" s="318" t="str">
        <f>VLOOKUP("[m]",Sprachindex!$A:$Z,Haftungsausschluß!$O$6,FALSE)</f>
        <v>[m]</v>
      </c>
      <c r="F454" s="318" t="str">
        <f>IF($L$14=1,Preisliste!$E$13,Preisliste!$F$13)</f>
        <v>H501001</v>
      </c>
      <c r="G454" s="988" t="str">
        <f>VLOOKUP("Dammbalken 50/200 exkl. Dichtung, gesägt und entgratet",Sprachindex!$A:$Z,Haftungsausschluß!$O$6,FALSE) &amp; " (" &amp; ROUNDUP(C454/1000*4.12,2) &amp; " " &amp; VLOOKUP("kg/Stk",Sprachindex!$A:$Z,Haftungsausschluß!$O$6,FALSE) &amp; ")" &amp; IF('Kalkulation 1'!$AH$33," " &amp; 'Kalkulation 1'!$R$9,"")</f>
        <v>Dammbalken 50/200 exkl. Dichtung, gesägt und entgratet (0 kg/Stk)</v>
      </c>
      <c r="H454" s="989"/>
      <c r="I454" s="989"/>
      <c r="J454" s="989"/>
      <c r="K454" s="989"/>
      <c r="L454" s="989"/>
      <c r="M454" s="990"/>
      <c r="N454" s="313"/>
      <c r="O454" s="426">
        <f t="shared" si="16"/>
        <v>0</v>
      </c>
      <c r="P454" s="286"/>
    </row>
    <row r="455" spans="2:16" ht="32.1" hidden="1" customHeight="1">
      <c r="B455" s="556"/>
      <c r="C455" s="312">
        <v>0</v>
      </c>
      <c r="D455" s="317">
        <f t="shared" si="15"/>
        <v>0</v>
      </c>
      <c r="E455" s="318" t="str">
        <f>VLOOKUP("[m]",Sprachindex!$A:$Z,Haftungsausschluß!$O$6,FALSE)</f>
        <v>[m]</v>
      </c>
      <c r="F455" s="318" t="str">
        <f>IF($L$14=1,Preisliste!$E$13,Preisliste!$F$13)</f>
        <v>H501001</v>
      </c>
      <c r="G455" s="988" t="str">
        <f>VLOOKUP("Dammbalken 50/200 exkl. Dichtung, gesägt und entgratet",Sprachindex!$A:$Z,Haftungsausschluß!$O$6,FALSE) &amp; " (" &amp; ROUNDUP(C455/1000*4.12,2) &amp; " " &amp; VLOOKUP("kg/Stk",Sprachindex!$A:$Z,Haftungsausschluß!$O$6,FALSE) &amp; ")" &amp; IF('Kalkulation 1'!$AH$33," " &amp; 'Kalkulation 1'!$R$9,"")</f>
        <v>Dammbalken 50/200 exkl. Dichtung, gesägt und entgratet (0 kg/Stk)</v>
      </c>
      <c r="H455" s="989"/>
      <c r="I455" s="989"/>
      <c r="J455" s="989"/>
      <c r="K455" s="989"/>
      <c r="L455" s="989"/>
      <c r="M455" s="990"/>
      <c r="N455" s="313"/>
      <c r="O455" s="426">
        <f t="shared" si="16"/>
        <v>0</v>
      </c>
      <c r="P455" s="286"/>
    </row>
    <row r="456" spans="2:16" ht="32.1" hidden="1" customHeight="1">
      <c r="B456" s="556"/>
      <c r="C456" s="312">
        <v>0</v>
      </c>
      <c r="D456" s="317">
        <f t="shared" si="15"/>
        <v>0</v>
      </c>
      <c r="E456" s="318" t="str">
        <f>VLOOKUP("[m]",Sprachindex!$A:$Z,Haftungsausschluß!$O$6,FALSE)</f>
        <v>[m]</v>
      </c>
      <c r="F456" s="318" t="str">
        <f>IF($L$14=1,Preisliste!$E$13,Preisliste!$F$13)</f>
        <v>H501001</v>
      </c>
      <c r="G456" s="988" t="str">
        <f>VLOOKUP("Dammbalken 50/200 exkl. Dichtung, gesägt und entgratet",Sprachindex!$A:$Z,Haftungsausschluß!$O$6,FALSE) &amp; " (" &amp; ROUNDUP(C456/1000*4.12,2) &amp; " " &amp; VLOOKUP("kg/Stk",Sprachindex!$A:$Z,Haftungsausschluß!$O$6,FALSE) &amp; ")" &amp; IF('Kalkulation 1'!$AH$33," " &amp; 'Kalkulation 1'!$R$9,"")</f>
        <v>Dammbalken 50/200 exkl. Dichtung, gesägt und entgratet (0 kg/Stk)</v>
      </c>
      <c r="H456" s="989"/>
      <c r="I456" s="989"/>
      <c r="J456" s="989"/>
      <c r="K456" s="989"/>
      <c r="L456" s="989"/>
      <c r="M456" s="990"/>
      <c r="N456" s="313"/>
      <c r="O456" s="426">
        <f t="shared" si="16"/>
        <v>0</v>
      </c>
      <c r="P456" s="286"/>
    </row>
    <row r="457" spans="2:16" ht="32.1" hidden="1" customHeight="1">
      <c r="B457" s="556"/>
      <c r="C457" s="312">
        <v>0</v>
      </c>
      <c r="D457" s="317">
        <f t="shared" si="15"/>
        <v>0</v>
      </c>
      <c r="E457" s="318" t="str">
        <f>VLOOKUP("[m]",Sprachindex!$A:$Z,Haftungsausschluß!$O$6,FALSE)</f>
        <v>[m]</v>
      </c>
      <c r="F457" s="318" t="str">
        <f>IF($L$14=1,Preisliste!$E$13,Preisliste!$F$13)</f>
        <v>H501001</v>
      </c>
      <c r="G457" s="988" t="str">
        <f>VLOOKUP("Dammbalken 50/200 exkl. Dichtung, gesägt und entgratet",Sprachindex!$A:$Z,Haftungsausschluß!$O$6,FALSE) &amp; " (" &amp; ROUNDUP(C457/1000*4.12,2) &amp; " " &amp; VLOOKUP("kg/Stk",Sprachindex!$A:$Z,Haftungsausschluß!$O$6,FALSE) &amp; ")" &amp; IF('Kalkulation 1'!$AH$33," " &amp; 'Kalkulation 1'!$R$9,"")</f>
        <v>Dammbalken 50/200 exkl. Dichtung, gesägt und entgratet (0 kg/Stk)</v>
      </c>
      <c r="H457" s="989"/>
      <c r="I457" s="989"/>
      <c r="J457" s="989"/>
      <c r="K457" s="989"/>
      <c r="L457" s="989"/>
      <c r="M457" s="990"/>
      <c r="N457" s="313"/>
      <c r="O457" s="426">
        <f t="shared" si="16"/>
        <v>0</v>
      </c>
      <c r="P457" s="286"/>
    </row>
    <row r="458" spans="2:16" ht="32.1" hidden="1" customHeight="1">
      <c r="B458" s="556"/>
      <c r="C458" s="312">
        <v>0</v>
      </c>
      <c r="D458" s="317">
        <f t="shared" si="15"/>
        <v>0</v>
      </c>
      <c r="E458" s="318" t="str">
        <f>VLOOKUP("[m]",Sprachindex!$A:$Z,Haftungsausschluß!$O$6,FALSE)</f>
        <v>[m]</v>
      </c>
      <c r="F458" s="318" t="str">
        <f>IF($L$14=1,Preisliste!$E$13,Preisliste!$F$13)</f>
        <v>H501001</v>
      </c>
      <c r="G458" s="988" t="str">
        <f>VLOOKUP("Dammbalken 50/200 exkl. Dichtung, gesägt und entgratet",Sprachindex!$A:$Z,Haftungsausschluß!$O$6,FALSE) &amp; " (" &amp; ROUNDUP(C458/1000*4.12,2) &amp; " " &amp; VLOOKUP("kg/Stk",Sprachindex!$A:$Z,Haftungsausschluß!$O$6,FALSE) &amp; ")" &amp; IF('Kalkulation 1'!$AH$33," " &amp; 'Kalkulation 1'!$R$9,"")</f>
        <v>Dammbalken 50/200 exkl. Dichtung, gesägt und entgratet (0 kg/Stk)</v>
      </c>
      <c r="H458" s="989"/>
      <c r="I458" s="989"/>
      <c r="J458" s="989"/>
      <c r="K458" s="989"/>
      <c r="L458" s="989"/>
      <c r="M458" s="990"/>
      <c r="N458" s="313"/>
      <c r="O458" s="426">
        <f t="shared" si="16"/>
        <v>0</v>
      </c>
      <c r="P458" s="286"/>
    </row>
    <row r="459" spans="2:16" ht="32.1" hidden="1" customHeight="1">
      <c r="B459" s="556"/>
      <c r="C459" s="312">
        <v>0</v>
      </c>
      <c r="D459" s="317">
        <f t="shared" si="15"/>
        <v>0</v>
      </c>
      <c r="E459" s="318" t="str">
        <f>VLOOKUP("[m]",Sprachindex!$A:$Z,Haftungsausschluß!$O$6,FALSE)</f>
        <v>[m]</v>
      </c>
      <c r="F459" s="318" t="str">
        <f>IF($L$14=1,Preisliste!$E$13,Preisliste!$F$13)</f>
        <v>H501001</v>
      </c>
      <c r="G459" s="988" t="str">
        <f>VLOOKUP("Dammbalken 50/200 exkl. Dichtung, gesägt und entgratet",Sprachindex!$A:$Z,Haftungsausschluß!$O$6,FALSE) &amp; " (" &amp; ROUNDUP(C459/1000*4.12,2) &amp; " " &amp; VLOOKUP("kg/Stk",Sprachindex!$A:$Z,Haftungsausschluß!$O$6,FALSE) &amp; ")" &amp; IF('Kalkulation 1'!$AH$33," " &amp; 'Kalkulation 1'!$R$9,"")</f>
        <v>Dammbalken 50/200 exkl. Dichtung, gesägt und entgratet (0 kg/Stk)</v>
      </c>
      <c r="H459" s="989"/>
      <c r="I459" s="989"/>
      <c r="J459" s="989"/>
      <c r="K459" s="989"/>
      <c r="L459" s="989"/>
      <c r="M459" s="990"/>
      <c r="N459" s="313"/>
      <c r="O459" s="426">
        <f t="shared" si="16"/>
        <v>0</v>
      </c>
      <c r="P459" s="286"/>
    </row>
    <row r="460" spans="2:16" ht="32.1" hidden="1" customHeight="1">
      <c r="B460" s="556"/>
      <c r="C460" s="312">
        <v>0</v>
      </c>
      <c r="D460" s="317">
        <f t="shared" si="15"/>
        <v>0</v>
      </c>
      <c r="E460" s="318" t="str">
        <f>VLOOKUP("[m]",Sprachindex!$A:$Z,Haftungsausschluß!$O$6,FALSE)</f>
        <v>[m]</v>
      </c>
      <c r="F460" s="318" t="str">
        <f>IF($L$14=1,Preisliste!$E$13,Preisliste!$F$13)</f>
        <v>H501001</v>
      </c>
      <c r="G460" s="988" t="str">
        <f>VLOOKUP("Dammbalken 50/200 exkl. Dichtung, gesägt und entgratet",Sprachindex!$A:$Z,Haftungsausschluß!$O$6,FALSE) &amp; " (" &amp; ROUNDUP(C460/1000*4.12,2) &amp; " " &amp; VLOOKUP("kg/Stk",Sprachindex!$A:$Z,Haftungsausschluß!$O$6,FALSE) &amp; ")" &amp; IF('Kalkulation 1'!$AH$33," " &amp; 'Kalkulation 1'!$R$9,"")</f>
        <v>Dammbalken 50/200 exkl. Dichtung, gesägt und entgratet (0 kg/Stk)</v>
      </c>
      <c r="H460" s="989"/>
      <c r="I460" s="989"/>
      <c r="J460" s="989"/>
      <c r="K460" s="989"/>
      <c r="L460" s="989"/>
      <c r="M460" s="990"/>
      <c r="N460" s="313"/>
      <c r="O460" s="426">
        <f t="shared" si="16"/>
        <v>0</v>
      </c>
      <c r="P460" s="286"/>
    </row>
    <row r="461" spans="2:16" ht="32.1" hidden="1" customHeight="1">
      <c r="B461" s="556"/>
      <c r="C461" s="312">
        <v>0</v>
      </c>
      <c r="D461" s="317">
        <f t="shared" si="15"/>
        <v>0</v>
      </c>
      <c r="E461" s="318" t="str">
        <f>VLOOKUP("[m]",Sprachindex!$A:$Z,Haftungsausschluß!$O$6,FALSE)</f>
        <v>[m]</v>
      </c>
      <c r="F461" s="318" t="str">
        <f>IF($L$14=1,Preisliste!$E$13,Preisliste!$F$13)</f>
        <v>H501001</v>
      </c>
      <c r="G461" s="988" t="str">
        <f>VLOOKUP("Dammbalken 50/200 exkl. Dichtung, gesägt und entgratet",Sprachindex!$A:$Z,Haftungsausschluß!$O$6,FALSE) &amp; " (" &amp; ROUNDUP(C461/1000*4.12,2) &amp; " " &amp; VLOOKUP("kg/Stk",Sprachindex!$A:$Z,Haftungsausschluß!$O$6,FALSE) &amp; ")" &amp; IF('Kalkulation 1'!$AH$33," " &amp; 'Kalkulation 1'!$R$9,"")</f>
        <v>Dammbalken 50/200 exkl. Dichtung, gesägt und entgratet (0 kg/Stk)</v>
      </c>
      <c r="H461" s="989"/>
      <c r="I461" s="989"/>
      <c r="J461" s="989"/>
      <c r="K461" s="989"/>
      <c r="L461" s="989"/>
      <c r="M461" s="990"/>
      <c r="N461" s="313"/>
      <c r="O461" s="426">
        <f t="shared" si="16"/>
        <v>0</v>
      </c>
      <c r="P461" s="286"/>
    </row>
    <row r="462" spans="2:16" ht="32.1" hidden="1" customHeight="1">
      <c r="B462" s="556"/>
      <c r="C462" s="312">
        <v>0</v>
      </c>
      <c r="D462" s="317">
        <f t="shared" si="15"/>
        <v>0</v>
      </c>
      <c r="E462" s="318" t="str">
        <f>VLOOKUP("[m]",Sprachindex!$A:$Z,Haftungsausschluß!$O$6,FALSE)</f>
        <v>[m]</v>
      </c>
      <c r="F462" s="318" t="str">
        <f>IF($L$14=1,Preisliste!$E$13,Preisliste!$F$13)</f>
        <v>H501001</v>
      </c>
      <c r="G462" s="988" t="str">
        <f>VLOOKUP("Dammbalken 50/200 exkl. Dichtung, gesägt und entgratet",Sprachindex!$A:$Z,Haftungsausschluß!$O$6,FALSE) &amp; " (" &amp; ROUNDUP(C462/1000*4.12,2) &amp; " " &amp; VLOOKUP("kg/Stk",Sprachindex!$A:$Z,Haftungsausschluß!$O$6,FALSE) &amp; ")" &amp; IF('Kalkulation 1'!$AH$33," " &amp; 'Kalkulation 1'!$R$9,"")</f>
        <v>Dammbalken 50/200 exkl. Dichtung, gesägt und entgratet (0 kg/Stk)</v>
      </c>
      <c r="H462" s="989"/>
      <c r="I462" s="989"/>
      <c r="J462" s="989"/>
      <c r="K462" s="989"/>
      <c r="L462" s="989"/>
      <c r="M462" s="990"/>
      <c r="N462" s="313"/>
      <c r="O462" s="426">
        <f t="shared" si="16"/>
        <v>0</v>
      </c>
      <c r="P462" s="286"/>
    </row>
    <row r="463" spans="2:16" ht="32.1" hidden="1" customHeight="1">
      <c r="B463" s="556"/>
      <c r="C463" s="312">
        <v>0</v>
      </c>
      <c r="D463" s="317">
        <f t="shared" ref="D463:D526" si="17">B463*C463/1000</f>
        <v>0</v>
      </c>
      <c r="E463" s="318" t="str">
        <f>VLOOKUP("[m]",Sprachindex!$A:$Z,Haftungsausschluß!$O$6,FALSE)</f>
        <v>[m]</v>
      </c>
      <c r="F463" s="318" t="str">
        <f>IF($L$14=1,Preisliste!$E$13,Preisliste!$F$13)</f>
        <v>H501001</v>
      </c>
      <c r="G463" s="988" t="str">
        <f>VLOOKUP("Dammbalken 50/200 exkl. Dichtung, gesägt und entgratet",Sprachindex!$A:$Z,Haftungsausschluß!$O$6,FALSE) &amp; " (" &amp; ROUNDUP(C463/1000*4.12,2) &amp; " " &amp; VLOOKUP("kg/Stk",Sprachindex!$A:$Z,Haftungsausschluß!$O$6,FALSE) &amp; ")" &amp; IF('Kalkulation 1'!$AH$33," " &amp; 'Kalkulation 1'!$R$9,"")</f>
        <v>Dammbalken 50/200 exkl. Dichtung, gesägt und entgratet (0 kg/Stk)</v>
      </c>
      <c r="H463" s="989"/>
      <c r="I463" s="989"/>
      <c r="J463" s="989"/>
      <c r="K463" s="989"/>
      <c r="L463" s="989"/>
      <c r="M463" s="990"/>
      <c r="N463" s="313"/>
      <c r="O463" s="426">
        <f t="shared" ref="O463:O526" si="18">N463*D463</f>
        <v>0</v>
      </c>
      <c r="P463" s="286"/>
    </row>
    <row r="464" spans="2:16" ht="32.1" hidden="1" customHeight="1">
      <c r="B464" s="556"/>
      <c r="C464" s="312">
        <v>0</v>
      </c>
      <c r="D464" s="317">
        <f t="shared" si="17"/>
        <v>0</v>
      </c>
      <c r="E464" s="318" t="str">
        <f>VLOOKUP("[m]",Sprachindex!$A:$Z,Haftungsausschluß!$O$6,FALSE)</f>
        <v>[m]</v>
      </c>
      <c r="F464" s="318" t="str">
        <f>IF($L$14=1,Preisliste!$E$13,Preisliste!$F$13)</f>
        <v>H501001</v>
      </c>
      <c r="G464" s="988" t="str">
        <f>VLOOKUP("Dammbalken 50/200 exkl. Dichtung, gesägt und entgratet",Sprachindex!$A:$Z,Haftungsausschluß!$O$6,FALSE) &amp; " (" &amp; ROUNDUP(C464/1000*4.12,2) &amp; " " &amp; VLOOKUP("kg/Stk",Sprachindex!$A:$Z,Haftungsausschluß!$O$6,FALSE) &amp; ")" &amp; IF('Kalkulation 1'!$AH$33," " &amp; 'Kalkulation 1'!$R$9,"")</f>
        <v>Dammbalken 50/200 exkl. Dichtung, gesägt und entgratet (0 kg/Stk)</v>
      </c>
      <c r="H464" s="989"/>
      <c r="I464" s="989"/>
      <c r="J464" s="989"/>
      <c r="K464" s="989"/>
      <c r="L464" s="989"/>
      <c r="M464" s="990"/>
      <c r="N464" s="313"/>
      <c r="O464" s="426">
        <f t="shared" si="18"/>
        <v>0</v>
      </c>
      <c r="P464" s="286"/>
    </row>
    <row r="465" spans="2:16" ht="32.1" hidden="1" customHeight="1">
      <c r="B465" s="556"/>
      <c r="C465" s="312">
        <v>0</v>
      </c>
      <c r="D465" s="317">
        <f t="shared" si="17"/>
        <v>0</v>
      </c>
      <c r="E465" s="318" t="str">
        <f>VLOOKUP("[m]",Sprachindex!$A:$Z,Haftungsausschluß!$O$6,FALSE)</f>
        <v>[m]</v>
      </c>
      <c r="F465" s="318" t="str">
        <f>IF($L$14=1,Preisliste!$E$13,Preisliste!$F$13)</f>
        <v>H501001</v>
      </c>
      <c r="G465" s="988" t="str">
        <f>VLOOKUP("Dammbalken 50/200 exkl. Dichtung, gesägt und entgratet",Sprachindex!$A:$Z,Haftungsausschluß!$O$6,FALSE) &amp; " (" &amp; ROUNDUP(C465/1000*4.12,2) &amp; " " &amp; VLOOKUP("kg/Stk",Sprachindex!$A:$Z,Haftungsausschluß!$O$6,FALSE) &amp; ")" &amp; IF('Kalkulation 1'!$AH$33," " &amp; 'Kalkulation 1'!$R$9,"")</f>
        <v>Dammbalken 50/200 exkl. Dichtung, gesägt und entgratet (0 kg/Stk)</v>
      </c>
      <c r="H465" s="989"/>
      <c r="I465" s="989"/>
      <c r="J465" s="989"/>
      <c r="K465" s="989"/>
      <c r="L465" s="989"/>
      <c r="M465" s="990"/>
      <c r="N465" s="313"/>
      <c r="O465" s="426">
        <f t="shared" si="18"/>
        <v>0</v>
      </c>
      <c r="P465" s="286"/>
    </row>
    <row r="466" spans="2:16" ht="32.1" hidden="1" customHeight="1">
      <c r="B466" s="556"/>
      <c r="C466" s="312">
        <v>0</v>
      </c>
      <c r="D466" s="317">
        <f t="shared" si="17"/>
        <v>0</v>
      </c>
      <c r="E466" s="318" t="str">
        <f>VLOOKUP("[m]",Sprachindex!$A:$Z,Haftungsausschluß!$O$6,FALSE)</f>
        <v>[m]</v>
      </c>
      <c r="F466" s="318" t="str">
        <f>IF($L$14=1,Preisliste!$E$13,Preisliste!$F$13)</f>
        <v>H501001</v>
      </c>
      <c r="G466" s="988" t="str">
        <f>VLOOKUP("Dammbalken 50/200 exkl. Dichtung, gesägt und entgratet",Sprachindex!$A:$Z,Haftungsausschluß!$O$6,FALSE) &amp; " (" &amp; ROUNDUP(C466/1000*4.12,2) &amp; " " &amp; VLOOKUP("kg/Stk",Sprachindex!$A:$Z,Haftungsausschluß!$O$6,FALSE) &amp; ")" &amp; IF('Kalkulation 1'!$AH$33," " &amp; 'Kalkulation 1'!$R$9,"")</f>
        <v>Dammbalken 50/200 exkl. Dichtung, gesägt und entgratet (0 kg/Stk)</v>
      </c>
      <c r="H466" s="989"/>
      <c r="I466" s="989"/>
      <c r="J466" s="989"/>
      <c r="K466" s="989"/>
      <c r="L466" s="989"/>
      <c r="M466" s="990"/>
      <c r="N466" s="313"/>
      <c r="O466" s="426">
        <f t="shared" si="18"/>
        <v>0</v>
      </c>
      <c r="P466" s="286"/>
    </row>
    <row r="467" spans="2:16" ht="32.1" hidden="1" customHeight="1">
      <c r="B467" s="556"/>
      <c r="C467" s="312">
        <v>0</v>
      </c>
      <c r="D467" s="317">
        <f t="shared" si="17"/>
        <v>0</v>
      </c>
      <c r="E467" s="318" t="str">
        <f>VLOOKUP("[m]",Sprachindex!$A:$Z,Haftungsausschluß!$O$6,FALSE)</f>
        <v>[m]</v>
      </c>
      <c r="F467" s="318" t="str">
        <f>IF($L$14=1,Preisliste!$E$13,Preisliste!$F$13)</f>
        <v>H501001</v>
      </c>
      <c r="G467" s="988" t="str">
        <f>VLOOKUP("Dammbalken 50/200 exkl. Dichtung, gesägt und entgratet",Sprachindex!$A:$Z,Haftungsausschluß!$O$6,FALSE) &amp; " (" &amp; ROUNDUP(C467/1000*4.12,2) &amp; " " &amp; VLOOKUP("kg/Stk",Sprachindex!$A:$Z,Haftungsausschluß!$O$6,FALSE) &amp; ")" &amp; IF('Kalkulation 1'!$AH$33," " &amp; 'Kalkulation 1'!$R$9,"")</f>
        <v>Dammbalken 50/200 exkl. Dichtung, gesägt und entgratet (0 kg/Stk)</v>
      </c>
      <c r="H467" s="989"/>
      <c r="I467" s="989"/>
      <c r="J467" s="989"/>
      <c r="K467" s="989"/>
      <c r="L467" s="989"/>
      <c r="M467" s="990"/>
      <c r="N467" s="313"/>
      <c r="O467" s="426">
        <f t="shared" si="18"/>
        <v>0</v>
      </c>
      <c r="P467" s="286"/>
    </row>
    <row r="468" spans="2:16" ht="32.1" hidden="1" customHeight="1">
      <c r="B468" s="556"/>
      <c r="C468" s="312">
        <v>0</v>
      </c>
      <c r="D468" s="317">
        <f t="shared" si="17"/>
        <v>0</v>
      </c>
      <c r="E468" s="318" t="str">
        <f>VLOOKUP("[m]",Sprachindex!$A:$Z,Haftungsausschluß!$O$6,FALSE)</f>
        <v>[m]</v>
      </c>
      <c r="F468" s="318" t="str">
        <f>IF($L$14=1,Preisliste!$E$13,Preisliste!$F$13)</f>
        <v>H501001</v>
      </c>
      <c r="G468" s="988" t="str">
        <f>VLOOKUP("Dammbalken 50/200 exkl. Dichtung, gesägt und entgratet",Sprachindex!$A:$Z,Haftungsausschluß!$O$6,FALSE) &amp; " (" &amp; ROUNDUP(C468/1000*4.12,2) &amp; " " &amp; VLOOKUP("kg/Stk",Sprachindex!$A:$Z,Haftungsausschluß!$O$6,FALSE) &amp; ")" &amp; IF('Kalkulation 1'!$AH$33," " &amp; 'Kalkulation 1'!$R$9,"")</f>
        <v>Dammbalken 50/200 exkl. Dichtung, gesägt und entgratet (0 kg/Stk)</v>
      </c>
      <c r="H468" s="989"/>
      <c r="I468" s="989"/>
      <c r="J468" s="989"/>
      <c r="K468" s="989"/>
      <c r="L468" s="989"/>
      <c r="M468" s="990"/>
      <c r="N468" s="313"/>
      <c r="O468" s="426">
        <f t="shared" si="18"/>
        <v>0</v>
      </c>
      <c r="P468" s="286"/>
    </row>
    <row r="469" spans="2:16" ht="32.1" hidden="1" customHeight="1">
      <c r="B469" s="556"/>
      <c r="C469" s="312">
        <v>0</v>
      </c>
      <c r="D469" s="317">
        <f t="shared" si="17"/>
        <v>0</v>
      </c>
      <c r="E469" s="318" t="str">
        <f>VLOOKUP("[m]",Sprachindex!$A:$Z,Haftungsausschluß!$O$6,FALSE)</f>
        <v>[m]</v>
      </c>
      <c r="F469" s="318" t="str">
        <f>IF($L$14=1,Preisliste!$E$13,Preisliste!$F$13)</f>
        <v>H501001</v>
      </c>
      <c r="G469" s="988" t="str">
        <f>VLOOKUP("Dammbalken 50/200 exkl. Dichtung, gesägt und entgratet",Sprachindex!$A:$Z,Haftungsausschluß!$O$6,FALSE) &amp; " (" &amp; ROUNDUP(C469/1000*4.12,2) &amp; " " &amp; VLOOKUP("kg/Stk",Sprachindex!$A:$Z,Haftungsausschluß!$O$6,FALSE) &amp; ")" &amp; IF('Kalkulation 1'!$AH$33," " &amp; 'Kalkulation 1'!$R$9,"")</f>
        <v>Dammbalken 50/200 exkl. Dichtung, gesägt und entgratet (0 kg/Stk)</v>
      </c>
      <c r="H469" s="989"/>
      <c r="I469" s="989"/>
      <c r="J469" s="989"/>
      <c r="K469" s="989"/>
      <c r="L469" s="989"/>
      <c r="M469" s="990"/>
      <c r="N469" s="313"/>
      <c r="O469" s="426">
        <f t="shared" si="18"/>
        <v>0</v>
      </c>
      <c r="P469" s="286"/>
    </row>
    <row r="470" spans="2:16" ht="32.1" hidden="1" customHeight="1">
      <c r="B470" s="556"/>
      <c r="C470" s="312">
        <v>0</v>
      </c>
      <c r="D470" s="317">
        <f t="shared" si="17"/>
        <v>0</v>
      </c>
      <c r="E470" s="318" t="str">
        <f>VLOOKUP("[m]",Sprachindex!$A:$Z,Haftungsausschluß!$O$6,FALSE)</f>
        <v>[m]</v>
      </c>
      <c r="F470" s="318" t="str">
        <f>IF($L$14=1,Preisliste!$E$13,Preisliste!$F$13)</f>
        <v>H501001</v>
      </c>
      <c r="G470" s="988" t="str">
        <f>VLOOKUP("Dammbalken 50/200 exkl. Dichtung, gesägt und entgratet",Sprachindex!$A:$Z,Haftungsausschluß!$O$6,FALSE) &amp; " (" &amp; ROUNDUP(C470/1000*4.12,2) &amp; " " &amp; VLOOKUP("kg/Stk",Sprachindex!$A:$Z,Haftungsausschluß!$O$6,FALSE) &amp; ")" &amp; IF('Kalkulation 1'!$AH$33," " &amp; 'Kalkulation 1'!$R$9,"")</f>
        <v>Dammbalken 50/200 exkl. Dichtung, gesägt und entgratet (0 kg/Stk)</v>
      </c>
      <c r="H470" s="989"/>
      <c r="I470" s="989"/>
      <c r="J470" s="989"/>
      <c r="K470" s="989"/>
      <c r="L470" s="989"/>
      <c r="M470" s="990"/>
      <c r="N470" s="313"/>
      <c r="O470" s="426">
        <f t="shared" si="18"/>
        <v>0</v>
      </c>
      <c r="P470" s="286"/>
    </row>
    <row r="471" spans="2:16" ht="32.1" hidden="1" customHeight="1">
      <c r="B471" s="556"/>
      <c r="C471" s="312">
        <v>0</v>
      </c>
      <c r="D471" s="317">
        <f t="shared" si="17"/>
        <v>0</v>
      </c>
      <c r="E471" s="318" t="str">
        <f>VLOOKUP("[m]",Sprachindex!$A:$Z,Haftungsausschluß!$O$6,FALSE)</f>
        <v>[m]</v>
      </c>
      <c r="F471" s="318" t="str">
        <f>IF($L$14=1,Preisliste!$E$13,Preisliste!$F$13)</f>
        <v>H501001</v>
      </c>
      <c r="G471" s="988" t="str">
        <f>VLOOKUP("Dammbalken 50/200 exkl. Dichtung, gesägt und entgratet",Sprachindex!$A:$Z,Haftungsausschluß!$O$6,FALSE) &amp; " (" &amp; ROUNDUP(C471/1000*4.12,2) &amp; " " &amp; VLOOKUP("kg/Stk",Sprachindex!$A:$Z,Haftungsausschluß!$O$6,FALSE) &amp; ")" &amp; IF('Kalkulation 1'!$AH$33," " &amp; 'Kalkulation 1'!$R$9,"")</f>
        <v>Dammbalken 50/200 exkl. Dichtung, gesägt und entgratet (0 kg/Stk)</v>
      </c>
      <c r="H471" s="989"/>
      <c r="I471" s="989"/>
      <c r="J471" s="989"/>
      <c r="K471" s="989"/>
      <c r="L471" s="989"/>
      <c r="M471" s="990"/>
      <c r="N471" s="313"/>
      <c r="O471" s="426">
        <f t="shared" si="18"/>
        <v>0</v>
      </c>
      <c r="P471" s="286"/>
    </row>
    <row r="472" spans="2:16" ht="32.1" hidden="1" customHeight="1">
      <c r="B472" s="556"/>
      <c r="C472" s="312">
        <v>0</v>
      </c>
      <c r="D472" s="317">
        <f t="shared" si="17"/>
        <v>0</v>
      </c>
      <c r="E472" s="318" t="str">
        <f>VLOOKUP("[m]",Sprachindex!$A:$Z,Haftungsausschluß!$O$6,FALSE)</f>
        <v>[m]</v>
      </c>
      <c r="F472" s="318" t="str">
        <f>IF($L$14=1,Preisliste!$E$13,Preisliste!$F$13)</f>
        <v>H501001</v>
      </c>
      <c r="G472" s="988" t="str">
        <f>VLOOKUP("Dammbalken 50/200 exkl. Dichtung, gesägt und entgratet",Sprachindex!$A:$Z,Haftungsausschluß!$O$6,FALSE) &amp; " (" &amp; ROUNDUP(C472/1000*4.12,2) &amp; " " &amp; VLOOKUP("kg/Stk",Sprachindex!$A:$Z,Haftungsausschluß!$O$6,FALSE) &amp; ")" &amp; IF('Kalkulation 1'!$AH$33," " &amp; 'Kalkulation 1'!$R$9,"")</f>
        <v>Dammbalken 50/200 exkl. Dichtung, gesägt und entgratet (0 kg/Stk)</v>
      </c>
      <c r="H472" s="989"/>
      <c r="I472" s="989"/>
      <c r="J472" s="989"/>
      <c r="K472" s="989"/>
      <c r="L472" s="989"/>
      <c r="M472" s="990"/>
      <c r="N472" s="313"/>
      <c r="O472" s="426">
        <f t="shared" si="18"/>
        <v>0</v>
      </c>
      <c r="P472" s="286"/>
    </row>
    <row r="473" spans="2:16" ht="32.1" hidden="1" customHeight="1">
      <c r="B473" s="556"/>
      <c r="C473" s="312">
        <v>0</v>
      </c>
      <c r="D473" s="317">
        <f t="shared" si="17"/>
        <v>0</v>
      </c>
      <c r="E473" s="318" t="str">
        <f>VLOOKUP("[m]",Sprachindex!$A:$Z,Haftungsausschluß!$O$6,FALSE)</f>
        <v>[m]</v>
      </c>
      <c r="F473" s="318" t="str">
        <f>IF($L$14=1,Preisliste!$E$13,Preisliste!$F$13)</f>
        <v>H501001</v>
      </c>
      <c r="G473" s="988" t="str">
        <f>VLOOKUP("Dammbalken 50/200 exkl. Dichtung, gesägt und entgratet",Sprachindex!$A:$Z,Haftungsausschluß!$O$6,FALSE) &amp; " (" &amp; ROUNDUP(C473/1000*4.12,2) &amp; " " &amp; VLOOKUP("kg/Stk",Sprachindex!$A:$Z,Haftungsausschluß!$O$6,FALSE) &amp; ")" &amp; IF('Kalkulation 1'!$AH$33," " &amp; 'Kalkulation 1'!$R$9,"")</f>
        <v>Dammbalken 50/200 exkl. Dichtung, gesägt und entgratet (0 kg/Stk)</v>
      </c>
      <c r="H473" s="989"/>
      <c r="I473" s="989"/>
      <c r="J473" s="989"/>
      <c r="K473" s="989"/>
      <c r="L473" s="989"/>
      <c r="M473" s="990"/>
      <c r="N473" s="313"/>
      <c r="O473" s="426">
        <f t="shared" si="18"/>
        <v>0</v>
      </c>
      <c r="P473" s="286"/>
    </row>
    <row r="474" spans="2:16" ht="32.1" hidden="1" customHeight="1">
      <c r="B474" s="556"/>
      <c r="C474" s="312">
        <v>0</v>
      </c>
      <c r="D474" s="317">
        <f t="shared" si="17"/>
        <v>0</v>
      </c>
      <c r="E474" s="318" t="str">
        <f>VLOOKUP("[m]",Sprachindex!$A:$Z,Haftungsausschluß!$O$6,FALSE)</f>
        <v>[m]</v>
      </c>
      <c r="F474" s="318" t="str">
        <f>IF($L$14=1,Preisliste!$E$13,Preisliste!$F$13)</f>
        <v>H501001</v>
      </c>
      <c r="G474" s="988" t="str">
        <f>VLOOKUP("Dammbalken 50/200 exkl. Dichtung, gesägt und entgratet",Sprachindex!$A:$Z,Haftungsausschluß!$O$6,FALSE) &amp; " (" &amp; ROUNDUP(C474/1000*4.12,2) &amp; " " &amp; VLOOKUP("kg/Stk",Sprachindex!$A:$Z,Haftungsausschluß!$O$6,FALSE) &amp; ")" &amp; IF('Kalkulation 1'!$AH$33," " &amp; 'Kalkulation 1'!$R$9,"")</f>
        <v>Dammbalken 50/200 exkl. Dichtung, gesägt und entgratet (0 kg/Stk)</v>
      </c>
      <c r="H474" s="989"/>
      <c r="I474" s="989"/>
      <c r="J474" s="989"/>
      <c r="K474" s="989"/>
      <c r="L474" s="989"/>
      <c r="M474" s="990"/>
      <c r="N474" s="313"/>
      <c r="O474" s="426">
        <f t="shared" si="18"/>
        <v>0</v>
      </c>
      <c r="P474" s="286"/>
    </row>
    <row r="475" spans="2:16" ht="32.1" hidden="1" customHeight="1">
      <c r="B475" s="556"/>
      <c r="C475" s="312">
        <v>0</v>
      </c>
      <c r="D475" s="317">
        <f t="shared" si="17"/>
        <v>0</v>
      </c>
      <c r="E475" s="318" t="str">
        <f>VLOOKUP("[m]",Sprachindex!$A:$Z,Haftungsausschluß!$O$6,FALSE)</f>
        <v>[m]</v>
      </c>
      <c r="F475" s="318" t="str">
        <f>IF($L$14=1,Preisliste!$E$13,Preisliste!$F$13)</f>
        <v>H501001</v>
      </c>
      <c r="G475" s="988" t="str">
        <f>VLOOKUP("Dammbalken 50/200 exkl. Dichtung, gesägt und entgratet",Sprachindex!$A:$Z,Haftungsausschluß!$O$6,FALSE) &amp; " (" &amp; ROUNDUP(C475/1000*4.12,2) &amp; " " &amp; VLOOKUP("kg/Stk",Sprachindex!$A:$Z,Haftungsausschluß!$O$6,FALSE) &amp; ")" &amp; IF('Kalkulation 1'!$AH$33," " &amp; 'Kalkulation 1'!$R$9,"")</f>
        <v>Dammbalken 50/200 exkl. Dichtung, gesägt und entgratet (0 kg/Stk)</v>
      </c>
      <c r="H475" s="989"/>
      <c r="I475" s="989"/>
      <c r="J475" s="989"/>
      <c r="K475" s="989"/>
      <c r="L475" s="989"/>
      <c r="M475" s="990"/>
      <c r="N475" s="313"/>
      <c r="O475" s="426">
        <f t="shared" si="18"/>
        <v>0</v>
      </c>
      <c r="P475" s="286"/>
    </row>
    <row r="476" spans="2:16" ht="32.1" hidden="1" customHeight="1">
      <c r="B476" s="556"/>
      <c r="C476" s="312">
        <v>0</v>
      </c>
      <c r="D476" s="317">
        <f t="shared" si="17"/>
        <v>0</v>
      </c>
      <c r="E476" s="318" t="str">
        <f>VLOOKUP("[m]",Sprachindex!$A:$Z,Haftungsausschluß!$O$6,FALSE)</f>
        <v>[m]</v>
      </c>
      <c r="F476" s="318" t="str">
        <f>IF($L$14=1,Preisliste!$E$13,Preisliste!$F$13)</f>
        <v>H501001</v>
      </c>
      <c r="G476" s="988" t="str">
        <f>VLOOKUP("Dammbalken 50/200 exkl. Dichtung, gesägt und entgratet",Sprachindex!$A:$Z,Haftungsausschluß!$O$6,FALSE) &amp; " (" &amp; ROUNDUP(C476/1000*4.12,2) &amp; " " &amp; VLOOKUP("kg/Stk",Sprachindex!$A:$Z,Haftungsausschluß!$O$6,FALSE) &amp; ")" &amp; IF('Kalkulation 1'!$AH$33," " &amp; 'Kalkulation 1'!$R$9,"")</f>
        <v>Dammbalken 50/200 exkl. Dichtung, gesägt und entgratet (0 kg/Stk)</v>
      </c>
      <c r="H476" s="989"/>
      <c r="I476" s="989"/>
      <c r="J476" s="989"/>
      <c r="K476" s="989"/>
      <c r="L476" s="989"/>
      <c r="M476" s="990"/>
      <c r="N476" s="313"/>
      <c r="O476" s="426">
        <f t="shared" si="18"/>
        <v>0</v>
      </c>
      <c r="P476" s="286"/>
    </row>
    <row r="477" spans="2:16" ht="32.1" hidden="1" customHeight="1">
      <c r="B477" s="556"/>
      <c r="C477" s="312">
        <v>0</v>
      </c>
      <c r="D477" s="317">
        <f t="shared" si="17"/>
        <v>0</v>
      </c>
      <c r="E477" s="318" t="str">
        <f>VLOOKUP("[m]",Sprachindex!$A:$Z,Haftungsausschluß!$O$6,FALSE)</f>
        <v>[m]</v>
      </c>
      <c r="F477" s="318" t="str">
        <f>IF($L$14=1,Preisliste!$E$13,Preisliste!$F$13)</f>
        <v>H501001</v>
      </c>
      <c r="G477" s="988" t="str">
        <f>VLOOKUP("Dammbalken 50/200 exkl. Dichtung, gesägt und entgratet",Sprachindex!$A:$Z,Haftungsausschluß!$O$6,FALSE) &amp; " (" &amp; ROUNDUP(C477/1000*4.12,2) &amp; " " &amp; VLOOKUP("kg/Stk",Sprachindex!$A:$Z,Haftungsausschluß!$O$6,FALSE) &amp; ")" &amp; IF('Kalkulation 1'!$AH$33," " &amp; 'Kalkulation 1'!$R$9,"")</f>
        <v>Dammbalken 50/200 exkl. Dichtung, gesägt und entgratet (0 kg/Stk)</v>
      </c>
      <c r="H477" s="989"/>
      <c r="I477" s="989"/>
      <c r="J477" s="989"/>
      <c r="K477" s="989"/>
      <c r="L477" s="989"/>
      <c r="M477" s="990"/>
      <c r="N477" s="313"/>
      <c r="O477" s="426">
        <f t="shared" si="18"/>
        <v>0</v>
      </c>
      <c r="P477" s="286"/>
    </row>
    <row r="478" spans="2:16" ht="32.1" hidden="1" customHeight="1">
      <c r="B478" s="556"/>
      <c r="C478" s="312">
        <v>0</v>
      </c>
      <c r="D478" s="317">
        <f t="shared" si="17"/>
        <v>0</v>
      </c>
      <c r="E478" s="318" t="str">
        <f>VLOOKUP("[m]",Sprachindex!$A:$Z,Haftungsausschluß!$O$6,FALSE)</f>
        <v>[m]</v>
      </c>
      <c r="F478" s="318" t="str">
        <f>IF($L$14=1,Preisliste!$E$13,Preisliste!$F$13)</f>
        <v>H501001</v>
      </c>
      <c r="G478" s="988" t="str">
        <f>VLOOKUP("Dammbalken 50/200 exkl. Dichtung, gesägt und entgratet",Sprachindex!$A:$Z,Haftungsausschluß!$O$6,FALSE) &amp; " (" &amp; ROUNDUP(C478/1000*4.12,2) &amp; " " &amp; VLOOKUP("kg/Stk",Sprachindex!$A:$Z,Haftungsausschluß!$O$6,FALSE) &amp; ")" &amp; IF('Kalkulation 1'!$AH$33," " &amp; 'Kalkulation 1'!$R$9,"")</f>
        <v>Dammbalken 50/200 exkl. Dichtung, gesägt und entgratet (0 kg/Stk)</v>
      </c>
      <c r="H478" s="989"/>
      <c r="I478" s="989"/>
      <c r="J478" s="989"/>
      <c r="K478" s="989"/>
      <c r="L478" s="989"/>
      <c r="M478" s="990"/>
      <c r="N478" s="313"/>
      <c r="O478" s="426">
        <f t="shared" si="18"/>
        <v>0</v>
      </c>
      <c r="P478" s="286"/>
    </row>
    <row r="479" spans="2:16" ht="32.1" hidden="1" customHeight="1">
      <c r="B479" s="556"/>
      <c r="C479" s="312">
        <v>0</v>
      </c>
      <c r="D479" s="317">
        <f t="shared" si="17"/>
        <v>0</v>
      </c>
      <c r="E479" s="318" t="str">
        <f>VLOOKUP("[m]",Sprachindex!$A:$Z,Haftungsausschluß!$O$6,FALSE)</f>
        <v>[m]</v>
      </c>
      <c r="F479" s="318" t="str">
        <f>IF($L$14=1,Preisliste!$E$13,Preisliste!$F$13)</f>
        <v>H501001</v>
      </c>
      <c r="G479" s="988" t="str">
        <f>VLOOKUP("Dammbalken 50/200 exkl. Dichtung, gesägt und entgratet",Sprachindex!$A:$Z,Haftungsausschluß!$O$6,FALSE) &amp; " (" &amp; ROUNDUP(C479/1000*4.12,2) &amp; " " &amp; VLOOKUP("kg/Stk",Sprachindex!$A:$Z,Haftungsausschluß!$O$6,FALSE) &amp; ")" &amp; IF('Kalkulation 1'!$AH$33," " &amp; 'Kalkulation 1'!$R$9,"")</f>
        <v>Dammbalken 50/200 exkl. Dichtung, gesägt und entgratet (0 kg/Stk)</v>
      </c>
      <c r="H479" s="989"/>
      <c r="I479" s="989"/>
      <c r="J479" s="989"/>
      <c r="K479" s="989"/>
      <c r="L479" s="989"/>
      <c r="M479" s="990"/>
      <c r="N479" s="313"/>
      <c r="O479" s="426">
        <f t="shared" si="18"/>
        <v>0</v>
      </c>
      <c r="P479" s="286"/>
    </row>
    <row r="480" spans="2:16" ht="32.1" hidden="1" customHeight="1">
      <c r="B480" s="556"/>
      <c r="C480" s="312">
        <v>0</v>
      </c>
      <c r="D480" s="317">
        <f t="shared" si="17"/>
        <v>0</v>
      </c>
      <c r="E480" s="318" t="str">
        <f>VLOOKUP("[m]",Sprachindex!$A:$Z,Haftungsausschluß!$O$6,FALSE)</f>
        <v>[m]</v>
      </c>
      <c r="F480" s="318" t="str">
        <f>IF($L$14=1,Preisliste!$E$13,Preisliste!$F$13)</f>
        <v>H501001</v>
      </c>
      <c r="G480" s="988" t="str">
        <f>VLOOKUP("Dammbalken 50/200 exkl. Dichtung, gesägt und entgratet",Sprachindex!$A:$Z,Haftungsausschluß!$O$6,FALSE) &amp; " (" &amp; ROUNDUP(C480/1000*4.12,2) &amp; " " &amp; VLOOKUP("kg/Stk",Sprachindex!$A:$Z,Haftungsausschluß!$O$6,FALSE) &amp; ")" &amp; IF('Kalkulation 1'!$AH$33," " &amp; 'Kalkulation 1'!$R$9,"")</f>
        <v>Dammbalken 50/200 exkl. Dichtung, gesägt und entgratet (0 kg/Stk)</v>
      </c>
      <c r="H480" s="989"/>
      <c r="I480" s="989"/>
      <c r="J480" s="989"/>
      <c r="K480" s="989"/>
      <c r="L480" s="989"/>
      <c r="M480" s="990"/>
      <c r="N480" s="313"/>
      <c r="O480" s="426">
        <f t="shared" si="18"/>
        <v>0</v>
      </c>
      <c r="P480" s="286"/>
    </row>
    <row r="481" spans="2:16" ht="32.1" hidden="1" customHeight="1">
      <c r="B481" s="556"/>
      <c r="C481" s="312">
        <v>0</v>
      </c>
      <c r="D481" s="317">
        <f t="shared" si="17"/>
        <v>0</v>
      </c>
      <c r="E481" s="318" t="str">
        <f>VLOOKUP("[m]",Sprachindex!$A:$Z,Haftungsausschluß!$O$6,FALSE)</f>
        <v>[m]</v>
      </c>
      <c r="F481" s="318" t="str">
        <f>IF($L$14=1,Preisliste!$E$13,Preisliste!$F$13)</f>
        <v>H501001</v>
      </c>
      <c r="G481" s="988" t="str">
        <f>VLOOKUP("Dammbalken 50/200 exkl. Dichtung, gesägt und entgratet",Sprachindex!$A:$Z,Haftungsausschluß!$O$6,FALSE) &amp; " (" &amp; ROUNDUP(C481/1000*4.12,2) &amp; " " &amp; VLOOKUP("kg/Stk",Sprachindex!$A:$Z,Haftungsausschluß!$O$6,FALSE) &amp; ")" &amp; IF('Kalkulation 1'!$AH$33," " &amp; 'Kalkulation 1'!$R$9,"")</f>
        <v>Dammbalken 50/200 exkl. Dichtung, gesägt und entgratet (0 kg/Stk)</v>
      </c>
      <c r="H481" s="989"/>
      <c r="I481" s="989"/>
      <c r="J481" s="989"/>
      <c r="K481" s="989"/>
      <c r="L481" s="989"/>
      <c r="M481" s="990"/>
      <c r="N481" s="313"/>
      <c r="O481" s="426">
        <f t="shared" si="18"/>
        <v>0</v>
      </c>
      <c r="P481" s="286"/>
    </row>
    <row r="482" spans="2:16" ht="32.1" hidden="1" customHeight="1">
      <c r="B482" s="556"/>
      <c r="C482" s="312">
        <v>0</v>
      </c>
      <c r="D482" s="317">
        <f t="shared" si="17"/>
        <v>0</v>
      </c>
      <c r="E482" s="318" t="str">
        <f>VLOOKUP("[m]",Sprachindex!$A:$Z,Haftungsausschluß!$O$6,FALSE)</f>
        <v>[m]</v>
      </c>
      <c r="F482" s="318" t="str">
        <f>IF($L$14=1,Preisliste!$E$13,Preisliste!$F$13)</f>
        <v>H501001</v>
      </c>
      <c r="G482" s="988" t="str">
        <f>VLOOKUP("Dammbalken 50/200 exkl. Dichtung, gesägt und entgratet",Sprachindex!$A:$Z,Haftungsausschluß!$O$6,FALSE) &amp; " (" &amp; ROUNDUP(C482/1000*4.12,2) &amp; " " &amp; VLOOKUP("kg/Stk",Sprachindex!$A:$Z,Haftungsausschluß!$O$6,FALSE) &amp; ")" &amp; IF('Kalkulation 1'!$AH$33," " &amp; 'Kalkulation 1'!$R$9,"")</f>
        <v>Dammbalken 50/200 exkl. Dichtung, gesägt und entgratet (0 kg/Stk)</v>
      </c>
      <c r="H482" s="989"/>
      <c r="I482" s="989"/>
      <c r="J482" s="989"/>
      <c r="K482" s="989"/>
      <c r="L482" s="989"/>
      <c r="M482" s="990"/>
      <c r="N482" s="313"/>
      <c r="O482" s="426">
        <f t="shared" si="18"/>
        <v>0</v>
      </c>
      <c r="P482" s="286"/>
    </row>
    <row r="483" spans="2:16" ht="32.1" hidden="1" customHeight="1">
      <c r="B483" s="556"/>
      <c r="C483" s="312">
        <v>0</v>
      </c>
      <c r="D483" s="317">
        <f t="shared" si="17"/>
        <v>0</v>
      </c>
      <c r="E483" s="318" t="str">
        <f>VLOOKUP("[m]",Sprachindex!$A:$Z,Haftungsausschluß!$O$6,FALSE)</f>
        <v>[m]</v>
      </c>
      <c r="F483" s="318" t="str">
        <f>IF($L$14=1,Preisliste!$E$13,Preisliste!$F$13)</f>
        <v>H501001</v>
      </c>
      <c r="G483" s="988" t="str">
        <f>VLOOKUP("Dammbalken 50/200 exkl. Dichtung, gesägt und entgratet",Sprachindex!$A:$Z,Haftungsausschluß!$O$6,FALSE) &amp; " (" &amp; ROUNDUP(C483/1000*4.12,2) &amp; " " &amp; VLOOKUP("kg/Stk",Sprachindex!$A:$Z,Haftungsausschluß!$O$6,FALSE) &amp; ")" &amp; IF('Kalkulation 1'!$AH$33," " &amp; 'Kalkulation 1'!$R$9,"")</f>
        <v>Dammbalken 50/200 exkl. Dichtung, gesägt und entgratet (0 kg/Stk)</v>
      </c>
      <c r="H483" s="989"/>
      <c r="I483" s="989"/>
      <c r="J483" s="989"/>
      <c r="K483" s="989"/>
      <c r="L483" s="989"/>
      <c r="M483" s="990"/>
      <c r="N483" s="313"/>
      <c r="O483" s="426">
        <f t="shared" si="18"/>
        <v>0</v>
      </c>
      <c r="P483" s="286"/>
    </row>
    <row r="484" spans="2:16" ht="32.1" hidden="1" customHeight="1">
      <c r="B484" s="556"/>
      <c r="C484" s="312">
        <v>0</v>
      </c>
      <c r="D484" s="317">
        <f t="shared" si="17"/>
        <v>0</v>
      </c>
      <c r="E484" s="318" t="str">
        <f>VLOOKUP("[m]",Sprachindex!$A:$Z,Haftungsausschluß!$O$6,FALSE)</f>
        <v>[m]</v>
      </c>
      <c r="F484" s="318" t="str">
        <f>IF($L$14=1,Preisliste!$E$13,Preisliste!$F$13)</f>
        <v>H501001</v>
      </c>
      <c r="G484" s="988" t="str">
        <f>VLOOKUP("Dammbalken 50/200 exkl. Dichtung, gesägt und entgratet",Sprachindex!$A:$Z,Haftungsausschluß!$O$6,FALSE) &amp; " (" &amp; ROUNDUP(C484/1000*4.12,2) &amp; " " &amp; VLOOKUP("kg/Stk",Sprachindex!$A:$Z,Haftungsausschluß!$O$6,FALSE) &amp; ")" &amp; IF('Kalkulation 1'!$AH$33," " &amp; 'Kalkulation 1'!$R$9,"")</f>
        <v>Dammbalken 50/200 exkl. Dichtung, gesägt und entgratet (0 kg/Stk)</v>
      </c>
      <c r="H484" s="989"/>
      <c r="I484" s="989"/>
      <c r="J484" s="989"/>
      <c r="K484" s="989"/>
      <c r="L484" s="989"/>
      <c r="M484" s="990"/>
      <c r="N484" s="313"/>
      <c r="O484" s="426">
        <f t="shared" si="18"/>
        <v>0</v>
      </c>
      <c r="P484" s="286"/>
    </row>
    <row r="485" spans="2:16" ht="32.1" hidden="1" customHeight="1">
      <c r="B485" s="556"/>
      <c r="C485" s="312">
        <v>0</v>
      </c>
      <c r="D485" s="317">
        <f t="shared" si="17"/>
        <v>0</v>
      </c>
      <c r="E485" s="318" t="str">
        <f>VLOOKUP("[m]",Sprachindex!$A:$Z,Haftungsausschluß!$O$6,FALSE)</f>
        <v>[m]</v>
      </c>
      <c r="F485" s="318" t="str">
        <f>IF($L$14=1,Preisliste!$E$13,Preisliste!$F$13)</f>
        <v>H501001</v>
      </c>
      <c r="G485" s="988" t="str">
        <f>VLOOKUP("Dammbalken 50/200 exkl. Dichtung, gesägt und entgratet",Sprachindex!$A:$Z,Haftungsausschluß!$O$6,FALSE) &amp; " (" &amp; ROUNDUP(C485/1000*4.12,2) &amp; " " &amp; VLOOKUP("kg/Stk",Sprachindex!$A:$Z,Haftungsausschluß!$O$6,FALSE) &amp; ")" &amp; IF('Kalkulation 1'!$AH$33," " &amp; 'Kalkulation 1'!$R$9,"")</f>
        <v>Dammbalken 50/200 exkl. Dichtung, gesägt und entgratet (0 kg/Stk)</v>
      </c>
      <c r="H485" s="989"/>
      <c r="I485" s="989"/>
      <c r="J485" s="989"/>
      <c r="K485" s="989"/>
      <c r="L485" s="989"/>
      <c r="M485" s="990"/>
      <c r="N485" s="313"/>
      <c r="O485" s="426">
        <f t="shared" si="18"/>
        <v>0</v>
      </c>
      <c r="P485" s="286"/>
    </row>
    <row r="486" spans="2:16" ht="32.1" hidden="1" customHeight="1">
      <c r="B486" s="556"/>
      <c r="C486" s="312">
        <v>0</v>
      </c>
      <c r="D486" s="317">
        <f t="shared" si="17"/>
        <v>0</v>
      </c>
      <c r="E486" s="318" t="str">
        <f>VLOOKUP("[m]",Sprachindex!$A:$Z,Haftungsausschluß!$O$6,FALSE)</f>
        <v>[m]</v>
      </c>
      <c r="F486" s="318" t="str">
        <f>IF($L$14=1,Preisliste!$E$13,Preisliste!$F$13)</f>
        <v>H501001</v>
      </c>
      <c r="G486" s="988" t="str">
        <f>VLOOKUP("Dammbalken 50/200 exkl. Dichtung, gesägt und entgratet",Sprachindex!$A:$Z,Haftungsausschluß!$O$6,FALSE) &amp; " (" &amp; ROUNDUP(C486/1000*4.12,2) &amp; " " &amp; VLOOKUP("kg/Stk",Sprachindex!$A:$Z,Haftungsausschluß!$O$6,FALSE) &amp; ")" &amp; IF('Kalkulation 1'!$AH$33," " &amp; 'Kalkulation 1'!$R$9,"")</f>
        <v>Dammbalken 50/200 exkl. Dichtung, gesägt und entgratet (0 kg/Stk)</v>
      </c>
      <c r="H486" s="989"/>
      <c r="I486" s="989"/>
      <c r="J486" s="989"/>
      <c r="K486" s="989"/>
      <c r="L486" s="989"/>
      <c r="M486" s="990"/>
      <c r="N486" s="313"/>
      <c r="O486" s="426">
        <f t="shared" si="18"/>
        <v>0</v>
      </c>
      <c r="P486" s="286"/>
    </row>
    <row r="487" spans="2:16" ht="32.1" hidden="1" customHeight="1">
      <c r="B487" s="556"/>
      <c r="C487" s="312">
        <v>0</v>
      </c>
      <c r="D487" s="317">
        <f t="shared" si="17"/>
        <v>0</v>
      </c>
      <c r="E487" s="318" t="str">
        <f>VLOOKUP("[m]",Sprachindex!$A:$Z,Haftungsausschluß!$O$6,FALSE)</f>
        <v>[m]</v>
      </c>
      <c r="F487" s="318" t="str">
        <f>IF($L$14=1,Preisliste!$E$13,Preisliste!$F$13)</f>
        <v>H501001</v>
      </c>
      <c r="G487" s="988" t="str">
        <f>VLOOKUP("Dammbalken 50/200 exkl. Dichtung, gesägt und entgratet",Sprachindex!$A:$Z,Haftungsausschluß!$O$6,FALSE) &amp; " (" &amp; ROUNDUP(C487/1000*4.12,2) &amp; " " &amp; VLOOKUP("kg/Stk",Sprachindex!$A:$Z,Haftungsausschluß!$O$6,FALSE) &amp; ")" &amp; IF('Kalkulation 1'!$AH$33," " &amp; 'Kalkulation 1'!$R$9,"")</f>
        <v>Dammbalken 50/200 exkl. Dichtung, gesägt und entgratet (0 kg/Stk)</v>
      </c>
      <c r="H487" s="989"/>
      <c r="I487" s="989"/>
      <c r="J487" s="989"/>
      <c r="K487" s="989"/>
      <c r="L487" s="989"/>
      <c r="M487" s="990"/>
      <c r="N487" s="313"/>
      <c r="O487" s="426">
        <f t="shared" si="18"/>
        <v>0</v>
      </c>
      <c r="P487" s="286"/>
    </row>
    <row r="488" spans="2:16" ht="32.1" hidden="1" customHeight="1">
      <c r="B488" s="556"/>
      <c r="C488" s="312">
        <v>0</v>
      </c>
      <c r="D488" s="317">
        <f t="shared" si="17"/>
        <v>0</v>
      </c>
      <c r="E488" s="318" t="str">
        <f>VLOOKUP("[m]",Sprachindex!$A:$Z,Haftungsausschluß!$O$6,FALSE)</f>
        <v>[m]</v>
      </c>
      <c r="F488" s="318" t="str">
        <f>IF($L$14=1,Preisliste!$E$13,Preisliste!$F$13)</f>
        <v>H501001</v>
      </c>
      <c r="G488" s="988" t="str">
        <f>VLOOKUP("Dammbalken 50/200 exkl. Dichtung, gesägt und entgratet",Sprachindex!$A:$Z,Haftungsausschluß!$O$6,FALSE) &amp; " (" &amp; ROUNDUP(C488/1000*4.12,2) &amp; " " &amp; VLOOKUP("kg/Stk",Sprachindex!$A:$Z,Haftungsausschluß!$O$6,FALSE) &amp; ")" &amp; IF('Kalkulation 1'!$AH$33," " &amp; 'Kalkulation 1'!$R$9,"")</f>
        <v>Dammbalken 50/200 exkl. Dichtung, gesägt und entgratet (0 kg/Stk)</v>
      </c>
      <c r="H488" s="989"/>
      <c r="I488" s="989"/>
      <c r="J488" s="989"/>
      <c r="K488" s="989"/>
      <c r="L488" s="989"/>
      <c r="M488" s="990"/>
      <c r="N488" s="313"/>
      <c r="O488" s="426">
        <f t="shared" si="18"/>
        <v>0</v>
      </c>
      <c r="P488" s="286"/>
    </row>
    <row r="489" spans="2:16" ht="32.1" hidden="1" customHeight="1">
      <c r="B489" s="556"/>
      <c r="C489" s="312">
        <v>0</v>
      </c>
      <c r="D489" s="317">
        <f t="shared" si="17"/>
        <v>0</v>
      </c>
      <c r="E489" s="318" t="str">
        <f>VLOOKUP("[m]",Sprachindex!$A:$Z,Haftungsausschluß!$O$6,FALSE)</f>
        <v>[m]</v>
      </c>
      <c r="F489" s="318" t="str">
        <f>IF($L$14=1,Preisliste!$E$13,Preisliste!$F$13)</f>
        <v>H501001</v>
      </c>
      <c r="G489" s="988" t="str">
        <f>VLOOKUP("Dammbalken 50/200 exkl. Dichtung, gesägt und entgratet",Sprachindex!$A:$Z,Haftungsausschluß!$O$6,FALSE) &amp; " (" &amp; ROUNDUP(C489/1000*4.12,2) &amp; " " &amp; VLOOKUP("kg/Stk",Sprachindex!$A:$Z,Haftungsausschluß!$O$6,FALSE) &amp; ")" &amp; IF('Kalkulation 1'!$AH$33," " &amp; 'Kalkulation 1'!$R$9,"")</f>
        <v>Dammbalken 50/200 exkl. Dichtung, gesägt und entgratet (0 kg/Stk)</v>
      </c>
      <c r="H489" s="989"/>
      <c r="I489" s="989"/>
      <c r="J489" s="989"/>
      <c r="K489" s="989"/>
      <c r="L489" s="989"/>
      <c r="M489" s="990"/>
      <c r="N489" s="313"/>
      <c r="O489" s="426">
        <f t="shared" si="18"/>
        <v>0</v>
      </c>
      <c r="P489" s="286"/>
    </row>
    <row r="490" spans="2:16" ht="32.1" hidden="1" customHeight="1">
      <c r="B490" s="556"/>
      <c r="C490" s="312">
        <v>0</v>
      </c>
      <c r="D490" s="317">
        <f t="shared" si="17"/>
        <v>0</v>
      </c>
      <c r="E490" s="318" t="str">
        <f>VLOOKUP("[m]",Sprachindex!$A:$Z,Haftungsausschluß!$O$6,FALSE)</f>
        <v>[m]</v>
      </c>
      <c r="F490" s="318" t="str">
        <f>IF($L$14=1,Preisliste!$E$13,Preisliste!$F$13)</f>
        <v>H501001</v>
      </c>
      <c r="G490" s="988" t="str">
        <f>VLOOKUP("Dammbalken 50/200 exkl. Dichtung, gesägt und entgratet",Sprachindex!$A:$Z,Haftungsausschluß!$O$6,FALSE) &amp; " (" &amp; ROUNDUP(C490/1000*4.12,2) &amp; " " &amp; VLOOKUP("kg/Stk",Sprachindex!$A:$Z,Haftungsausschluß!$O$6,FALSE) &amp; ")" &amp; IF('Kalkulation 1'!$AH$33," " &amp; 'Kalkulation 1'!$R$9,"")</f>
        <v>Dammbalken 50/200 exkl. Dichtung, gesägt und entgratet (0 kg/Stk)</v>
      </c>
      <c r="H490" s="989"/>
      <c r="I490" s="989"/>
      <c r="J490" s="989"/>
      <c r="K490" s="989"/>
      <c r="L490" s="989"/>
      <c r="M490" s="990"/>
      <c r="N490" s="313"/>
      <c r="O490" s="426">
        <f t="shared" si="18"/>
        <v>0</v>
      </c>
      <c r="P490" s="286"/>
    </row>
    <row r="491" spans="2:16" ht="32.1" hidden="1" customHeight="1">
      <c r="B491" s="556"/>
      <c r="C491" s="312">
        <v>0</v>
      </c>
      <c r="D491" s="317">
        <f t="shared" si="17"/>
        <v>0</v>
      </c>
      <c r="E491" s="318" t="str">
        <f>VLOOKUP("[m]",Sprachindex!$A:$Z,Haftungsausschluß!$O$6,FALSE)</f>
        <v>[m]</v>
      </c>
      <c r="F491" s="318" t="str">
        <f>IF($L$14=1,Preisliste!$E$13,Preisliste!$F$13)</f>
        <v>H501001</v>
      </c>
      <c r="G491" s="988" t="str">
        <f>VLOOKUP("Dammbalken 50/200 exkl. Dichtung, gesägt und entgratet",Sprachindex!$A:$Z,Haftungsausschluß!$O$6,FALSE) &amp; " (" &amp; ROUNDUP(C491/1000*4.12,2) &amp; " " &amp; VLOOKUP("kg/Stk",Sprachindex!$A:$Z,Haftungsausschluß!$O$6,FALSE) &amp; ")" &amp; IF('Kalkulation 1'!$AH$33," " &amp; 'Kalkulation 1'!$R$9,"")</f>
        <v>Dammbalken 50/200 exkl. Dichtung, gesägt und entgratet (0 kg/Stk)</v>
      </c>
      <c r="H491" s="989"/>
      <c r="I491" s="989"/>
      <c r="J491" s="989"/>
      <c r="K491" s="989"/>
      <c r="L491" s="989"/>
      <c r="M491" s="990"/>
      <c r="N491" s="313"/>
      <c r="O491" s="426">
        <f t="shared" si="18"/>
        <v>0</v>
      </c>
      <c r="P491" s="286"/>
    </row>
    <row r="492" spans="2:16" ht="32.1" hidden="1" customHeight="1">
      <c r="B492" s="556"/>
      <c r="C492" s="312">
        <v>0</v>
      </c>
      <c r="D492" s="317">
        <f t="shared" si="17"/>
        <v>0</v>
      </c>
      <c r="E492" s="318" t="str">
        <f>VLOOKUP("[m]",Sprachindex!$A:$Z,Haftungsausschluß!$O$6,FALSE)</f>
        <v>[m]</v>
      </c>
      <c r="F492" s="318" t="str">
        <f>IF($L$14=1,Preisliste!$E$13,Preisliste!$F$13)</f>
        <v>H501001</v>
      </c>
      <c r="G492" s="988" t="str">
        <f>VLOOKUP("Dammbalken 50/200 exkl. Dichtung, gesägt und entgratet",Sprachindex!$A:$Z,Haftungsausschluß!$O$6,FALSE) &amp; " (" &amp; ROUNDUP(C492/1000*4.12,2) &amp; " " &amp; VLOOKUP("kg/Stk",Sprachindex!$A:$Z,Haftungsausschluß!$O$6,FALSE) &amp; ")" &amp; IF('Kalkulation 1'!$AH$33," " &amp; 'Kalkulation 1'!$R$9,"")</f>
        <v>Dammbalken 50/200 exkl. Dichtung, gesägt und entgratet (0 kg/Stk)</v>
      </c>
      <c r="H492" s="989"/>
      <c r="I492" s="989"/>
      <c r="J492" s="989"/>
      <c r="K492" s="989"/>
      <c r="L492" s="989"/>
      <c r="M492" s="990"/>
      <c r="N492" s="313"/>
      <c r="O492" s="426">
        <f t="shared" si="18"/>
        <v>0</v>
      </c>
      <c r="P492" s="286"/>
    </row>
    <row r="493" spans="2:16" ht="32.1" hidden="1" customHeight="1">
      <c r="B493" s="556"/>
      <c r="C493" s="312">
        <v>0</v>
      </c>
      <c r="D493" s="317">
        <f t="shared" si="17"/>
        <v>0</v>
      </c>
      <c r="E493" s="318" t="str">
        <f>VLOOKUP("[m]",Sprachindex!$A:$Z,Haftungsausschluß!$O$6,FALSE)</f>
        <v>[m]</v>
      </c>
      <c r="F493" s="318" t="str">
        <f>IF($L$14=1,Preisliste!$E$13,Preisliste!$F$13)</f>
        <v>H501001</v>
      </c>
      <c r="G493" s="988" t="str">
        <f>VLOOKUP("Dammbalken 50/200 exkl. Dichtung, gesägt und entgratet",Sprachindex!$A:$Z,Haftungsausschluß!$O$6,FALSE) &amp; " (" &amp; ROUNDUP(C493/1000*4.12,2) &amp; " " &amp; VLOOKUP("kg/Stk",Sprachindex!$A:$Z,Haftungsausschluß!$O$6,FALSE) &amp; ")" &amp; IF('Kalkulation 1'!$AH$33," " &amp; 'Kalkulation 1'!$R$9,"")</f>
        <v>Dammbalken 50/200 exkl. Dichtung, gesägt und entgratet (0 kg/Stk)</v>
      </c>
      <c r="H493" s="989"/>
      <c r="I493" s="989"/>
      <c r="J493" s="989"/>
      <c r="K493" s="989"/>
      <c r="L493" s="989"/>
      <c r="M493" s="990"/>
      <c r="N493" s="313"/>
      <c r="O493" s="426">
        <f t="shared" si="18"/>
        <v>0</v>
      </c>
      <c r="P493" s="286"/>
    </row>
    <row r="494" spans="2:16" ht="32.1" hidden="1" customHeight="1">
      <c r="B494" s="556"/>
      <c r="C494" s="312">
        <v>0</v>
      </c>
      <c r="D494" s="317">
        <f t="shared" si="17"/>
        <v>0</v>
      </c>
      <c r="E494" s="318" t="str">
        <f>VLOOKUP("[m]",Sprachindex!$A:$Z,Haftungsausschluß!$O$6,FALSE)</f>
        <v>[m]</v>
      </c>
      <c r="F494" s="318" t="str">
        <f>IF($L$14=1,Preisliste!$E$13,Preisliste!$F$13)</f>
        <v>H501001</v>
      </c>
      <c r="G494" s="988" t="str">
        <f>VLOOKUP("Dammbalken 50/200 exkl. Dichtung, gesägt und entgratet",Sprachindex!$A:$Z,Haftungsausschluß!$O$6,FALSE) &amp; " (" &amp; ROUNDUP(C494/1000*4.12,2) &amp; " " &amp; VLOOKUP("kg/Stk",Sprachindex!$A:$Z,Haftungsausschluß!$O$6,FALSE) &amp; ")" &amp; IF('Kalkulation 1'!$AH$33," " &amp; 'Kalkulation 1'!$R$9,"")</f>
        <v>Dammbalken 50/200 exkl. Dichtung, gesägt und entgratet (0 kg/Stk)</v>
      </c>
      <c r="H494" s="989"/>
      <c r="I494" s="989"/>
      <c r="J494" s="989"/>
      <c r="K494" s="989"/>
      <c r="L494" s="989"/>
      <c r="M494" s="990"/>
      <c r="N494" s="313"/>
      <c r="O494" s="426">
        <f t="shared" si="18"/>
        <v>0</v>
      </c>
      <c r="P494" s="286"/>
    </row>
    <row r="495" spans="2:16" ht="32.1" hidden="1" customHeight="1">
      <c r="B495" s="556"/>
      <c r="C495" s="312">
        <v>0</v>
      </c>
      <c r="D495" s="317">
        <f t="shared" si="17"/>
        <v>0</v>
      </c>
      <c r="E495" s="318" t="str">
        <f>VLOOKUP("[m]",Sprachindex!$A:$Z,Haftungsausschluß!$O$6,FALSE)</f>
        <v>[m]</v>
      </c>
      <c r="F495" s="318" t="str">
        <f>IF($L$14=1,Preisliste!$E$13,Preisliste!$F$13)</f>
        <v>H501001</v>
      </c>
      <c r="G495" s="988" t="str">
        <f>VLOOKUP("Dammbalken 50/200 exkl. Dichtung, gesägt und entgratet",Sprachindex!$A:$Z,Haftungsausschluß!$O$6,FALSE) &amp; " (" &amp; ROUNDUP(C495/1000*4.12,2) &amp; " " &amp; VLOOKUP("kg/Stk",Sprachindex!$A:$Z,Haftungsausschluß!$O$6,FALSE) &amp; ")" &amp; IF('Kalkulation 1'!$AH$33," " &amp; 'Kalkulation 1'!$R$9,"")</f>
        <v>Dammbalken 50/200 exkl. Dichtung, gesägt und entgratet (0 kg/Stk)</v>
      </c>
      <c r="H495" s="989"/>
      <c r="I495" s="989"/>
      <c r="J495" s="989"/>
      <c r="K495" s="989"/>
      <c r="L495" s="989"/>
      <c r="M495" s="990"/>
      <c r="N495" s="313"/>
      <c r="O495" s="426">
        <f t="shared" si="18"/>
        <v>0</v>
      </c>
      <c r="P495" s="286"/>
    </row>
    <row r="496" spans="2:16" ht="32.1" hidden="1" customHeight="1">
      <c r="B496" s="556"/>
      <c r="C496" s="312">
        <v>0</v>
      </c>
      <c r="D496" s="317">
        <f t="shared" si="17"/>
        <v>0</v>
      </c>
      <c r="E496" s="318" t="str">
        <f>VLOOKUP("[m]",Sprachindex!$A:$Z,Haftungsausschluß!$O$6,FALSE)</f>
        <v>[m]</v>
      </c>
      <c r="F496" s="318" t="str">
        <f>IF($L$14=1,Preisliste!$E$13,Preisliste!$F$13)</f>
        <v>H501001</v>
      </c>
      <c r="G496" s="988" t="str">
        <f>VLOOKUP("Dammbalken 50/200 exkl. Dichtung, gesägt und entgratet",Sprachindex!$A:$Z,Haftungsausschluß!$O$6,FALSE) &amp; " (" &amp; ROUNDUP(C496/1000*4.12,2) &amp; " " &amp; VLOOKUP("kg/Stk",Sprachindex!$A:$Z,Haftungsausschluß!$O$6,FALSE) &amp; ")" &amp; IF('Kalkulation 1'!$AH$33," " &amp; 'Kalkulation 1'!$R$9,"")</f>
        <v>Dammbalken 50/200 exkl. Dichtung, gesägt und entgratet (0 kg/Stk)</v>
      </c>
      <c r="H496" s="989"/>
      <c r="I496" s="989"/>
      <c r="J496" s="989"/>
      <c r="K496" s="989"/>
      <c r="L496" s="989"/>
      <c r="M496" s="990"/>
      <c r="N496" s="313"/>
      <c r="O496" s="426">
        <f t="shared" si="18"/>
        <v>0</v>
      </c>
      <c r="P496" s="286"/>
    </row>
    <row r="497" spans="2:16" ht="32.1" hidden="1" customHeight="1">
      <c r="B497" s="556"/>
      <c r="C497" s="312">
        <v>0</v>
      </c>
      <c r="D497" s="317">
        <f t="shared" si="17"/>
        <v>0</v>
      </c>
      <c r="E497" s="318" t="str">
        <f>VLOOKUP("[m]",Sprachindex!$A:$Z,Haftungsausschluß!$O$6,FALSE)</f>
        <v>[m]</v>
      </c>
      <c r="F497" s="318" t="str">
        <f>IF($L$14=1,Preisliste!$E$13,Preisliste!$F$13)</f>
        <v>H501001</v>
      </c>
      <c r="G497" s="988" t="str">
        <f>VLOOKUP("Dammbalken 50/200 exkl. Dichtung, gesägt und entgratet",Sprachindex!$A:$Z,Haftungsausschluß!$O$6,FALSE) &amp; " (" &amp; ROUNDUP(C497/1000*4.12,2) &amp; " " &amp; VLOOKUP("kg/Stk",Sprachindex!$A:$Z,Haftungsausschluß!$O$6,FALSE) &amp; ")" &amp; IF('Kalkulation 1'!$AH$33," " &amp; 'Kalkulation 1'!$R$9,"")</f>
        <v>Dammbalken 50/200 exkl. Dichtung, gesägt und entgratet (0 kg/Stk)</v>
      </c>
      <c r="H497" s="989"/>
      <c r="I497" s="989"/>
      <c r="J497" s="989"/>
      <c r="K497" s="989"/>
      <c r="L497" s="989"/>
      <c r="M497" s="990"/>
      <c r="N497" s="313"/>
      <c r="O497" s="426">
        <f t="shared" si="18"/>
        <v>0</v>
      </c>
      <c r="P497" s="286"/>
    </row>
    <row r="498" spans="2:16" ht="32.1" hidden="1" customHeight="1">
      <c r="B498" s="556"/>
      <c r="C498" s="312">
        <v>0</v>
      </c>
      <c r="D498" s="317">
        <f t="shared" si="17"/>
        <v>0</v>
      </c>
      <c r="E498" s="318" t="str">
        <f>VLOOKUP("[m]",Sprachindex!$A:$Z,Haftungsausschluß!$O$6,FALSE)</f>
        <v>[m]</v>
      </c>
      <c r="F498" s="318" t="str">
        <f>IF($L$14=1,Preisliste!$E$13,Preisliste!$F$13)</f>
        <v>H501001</v>
      </c>
      <c r="G498" s="988" t="str">
        <f>VLOOKUP("Dammbalken 50/200 exkl. Dichtung, gesägt und entgratet",Sprachindex!$A:$Z,Haftungsausschluß!$O$6,FALSE) &amp; " (" &amp; ROUNDUP(C498/1000*4.12,2) &amp; " " &amp; VLOOKUP("kg/Stk",Sprachindex!$A:$Z,Haftungsausschluß!$O$6,FALSE) &amp; ")" &amp; IF('Kalkulation 1'!$AH$33," " &amp; 'Kalkulation 1'!$R$9,"")</f>
        <v>Dammbalken 50/200 exkl. Dichtung, gesägt und entgratet (0 kg/Stk)</v>
      </c>
      <c r="H498" s="989"/>
      <c r="I498" s="989"/>
      <c r="J498" s="989"/>
      <c r="K498" s="989"/>
      <c r="L498" s="989"/>
      <c r="M498" s="990"/>
      <c r="N498" s="313"/>
      <c r="O498" s="426">
        <f t="shared" si="18"/>
        <v>0</v>
      </c>
      <c r="P498" s="286"/>
    </row>
    <row r="499" spans="2:16" ht="32.1" hidden="1" customHeight="1">
      <c r="B499" s="556"/>
      <c r="C499" s="312">
        <v>0</v>
      </c>
      <c r="D499" s="317">
        <f t="shared" si="17"/>
        <v>0</v>
      </c>
      <c r="E499" s="318" t="str">
        <f>VLOOKUP("[m]",Sprachindex!$A:$Z,Haftungsausschluß!$O$6,FALSE)</f>
        <v>[m]</v>
      </c>
      <c r="F499" s="318" t="str">
        <f>IF($L$14=1,Preisliste!$E$13,Preisliste!$F$13)</f>
        <v>H501001</v>
      </c>
      <c r="G499" s="988" t="str">
        <f>VLOOKUP("Dammbalken 50/200 exkl. Dichtung, gesägt und entgratet",Sprachindex!$A:$Z,Haftungsausschluß!$O$6,FALSE) &amp; " (" &amp; ROUNDUP(C499/1000*4.12,2) &amp; " " &amp; VLOOKUP("kg/Stk",Sprachindex!$A:$Z,Haftungsausschluß!$O$6,FALSE) &amp; ")" &amp; IF('Kalkulation 1'!$AH$33," " &amp; 'Kalkulation 1'!$R$9,"")</f>
        <v>Dammbalken 50/200 exkl. Dichtung, gesägt und entgratet (0 kg/Stk)</v>
      </c>
      <c r="H499" s="989"/>
      <c r="I499" s="989"/>
      <c r="J499" s="989"/>
      <c r="K499" s="989"/>
      <c r="L499" s="989"/>
      <c r="M499" s="990"/>
      <c r="N499" s="313"/>
      <c r="O499" s="426">
        <f t="shared" si="18"/>
        <v>0</v>
      </c>
      <c r="P499" s="286"/>
    </row>
    <row r="500" spans="2:16" ht="32.1" hidden="1" customHeight="1">
      <c r="B500" s="556"/>
      <c r="C500" s="312">
        <v>0</v>
      </c>
      <c r="D500" s="317">
        <f t="shared" si="17"/>
        <v>0</v>
      </c>
      <c r="E500" s="318" t="str">
        <f>VLOOKUP("[m]",Sprachindex!$A:$Z,Haftungsausschluß!$O$6,FALSE)</f>
        <v>[m]</v>
      </c>
      <c r="F500" s="318" t="str">
        <f>IF($L$14=1,Preisliste!$E$13,Preisliste!$F$13)</f>
        <v>H501001</v>
      </c>
      <c r="G500" s="988" t="str">
        <f>VLOOKUP("Dammbalken 50/200 exkl. Dichtung, gesägt und entgratet",Sprachindex!$A:$Z,Haftungsausschluß!$O$6,FALSE) &amp; " (" &amp; ROUNDUP(C500/1000*4.12,2) &amp; " " &amp; VLOOKUP("kg/Stk",Sprachindex!$A:$Z,Haftungsausschluß!$O$6,FALSE) &amp; ")" &amp; IF('Kalkulation 1'!$AH$33," " &amp; 'Kalkulation 1'!$R$9,"")</f>
        <v>Dammbalken 50/200 exkl. Dichtung, gesägt und entgratet (0 kg/Stk)</v>
      </c>
      <c r="H500" s="989"/>
      <c r="I500" s="989"/>
      <c r="J500" s="989"/>
      <c r="K500" s="989"/>
      <c r="L500" s="989"/>
      <c r="M500" s="990"/>
      <c r="N500" s="313"/>
      <c r="O500" s="426">
        <f t="shared" si="18"/>
        <v>0</v>
      </c>
      <c r="P500" s="286"/>
    </row>
    <row r="501" spans="2:16" ht="32.1" hidden="1" customHeight="1">
      <c r="B501" s="556"/>
      <c r="C501" s="312">
        <v>0</v>
      </c>
      <c r="D501" s="317">
        <f t="shared" si="17"/>
        <v>0</v>
      </c>
      <c r="E501" s="318" t="str">
        <f>VLOOKUP("[m]",Sprachindex!$A:$Z,Haftungsausschluß!$O$6,FALSE)</f>
        <v>[m]</v>
      </c>
      <c r="F501" s="318" t="str">
        <f>IF($L$14=1,Preisliste!$E$13,Preisliste!$F$13)</f>
        <v>H501001</v>
      </c>
      <c r="G501" s="988" t="str">
        <f>VLOOKUP("Dammbalken 50/200 exkl. Dichtung, gesägt und entgratet",Sprachindex!$A:$Z,Haftungsausschluß!$O$6,FALSE) &amp; " (" &amp; ROUNDUP(C501/1000*4.12,2) &amp; " " &amp; VLOOKUP("kg/Stk",Sprachindex!$A:$Z,Haftungsausschluß!$O$6,FALSE) &amp; ")" &amp; IF('Kalkulation 1'!$AH$33," " &amp; 'Kalkulation 1'!$R$9,"")</f>
        <v>Dammbalken 50/200 exkl. Dichtung, gesägt und entgratet (0 kg/Stk)</v>
      </c>
      <c r="H501" s="989"/>
      <c r="I501" s="989"/>
      <c r="J501" s="989"/>
      <c r="K501" s="989"/>
      <c r="L501" s="989"/>
      <c r="M501" s="990"/>
      <c r="N501" s="313"/>
      <c r="O501" s="426">
        <f t="shared" si="18"/>
        <v>0</v>
      </c>
      <c r="P501" s="286"/>
    </row>
    <row r="502" spans="2:16" ht="32.1" hidden="1" customHeight="1">
      <c r="B502" s="556"/>
      <c r="C502" s="312">
        <v>0</v>
      </c>
      <c r="D502" s="317">
        <f t="shared" si="17"/>
        <v>0</v>
      </c>
      <c r="E502" s="318" t="str">
        <f>VLOOKUP("[m]",Sprachindex!$A:$Z,Haftungsausschluß!$O$6,FALSE)</f>
        <v>[m]</v>
      </c>
      <c r="F502" s="318" t="str">
        <f>IF($L$14=1,Preisliste!$E$13,Preisliste!$F$13)</f>
        <v>H501001</v>
      </c>
      <c r="G502" s="988" t="str">
        <f>VLOOKUP("Dammbalken 50/200 exkl. Dichtung, gesägt und entgratet",Sprachindex!$A:$Z,Haftungsausschluß!$O$6,FALSE) &amp; " (" &amp; ROUNDUP(C502/1000*4.12,2) &amp; " " &amp; VLOOKUP("kg/Stk",Sprachindex!$A:$Z,Haftungsausschluß!$O$6,FALSE) &amp; ")" &amp; IF('Kalkulation 1'!$AH$33," " &amp; 'Kalkulation 1'!$R$9,"")</f>
        <v>Dammbalken 50/200 exkl. Dichtung, gesägt und entgratet (0 kg/Stk)</v>
      </c>
      <c r="H502" s="989"/>
      <c r="I502" s="989"/>
      <c r="J502" s="989"/>
      <c r="K502" s="989"/>
      <c r="L502" s="989"/>
      <c r="M502" s="990"/>
      <c r="N502" s="313"/>
      <c r="O502" s="426">
        <f t="shared" si="18"/>
        <v>0</v>
      </c>
      <c r="P502" s="286"/>
    </row>
    <row r="503" spans="2:16" ht="32.1" hidden="1" customHeight="1">
      <c r="B503" s="556"/>
      <c r="C503" s="312">
        <v>0</v>
      </c>
      <c r="D503" s="317">
        <f t="shared" si="17"/>
        <v>0</v>
      </c>
      <c r="E503" s="318" t="str">
        <f>VLOOKUP("[m]",Sprachindex!$A:$Z,Haftungsausschluß!$O$6,FALSE)</f>
        <v>[m]</v>
      </c>
      <c r="F503" s="318" t="str">
        <f>IF($L$14=1,Preisliste!$E$13,Preisliste!$F$13)</f>
        <v>H501001</v>
      </c>
      <c r="G503" s="988" t="str">
        <f>VLOOKUP("Dammbalken 50/200 exkl. Dichtung, gesägt und entgratet",Sprachindex!$A:$Z,Haftungsausschluß!$O$6,FALSE) &amp; " (" &amp; ROUNDUP(C503/1000*4.12,2) &amp; " " &amp; VLOOKUP("kg/Stk",Sprachindex!$A:$Z,Haftungsausschluß!$O$6,FALSE) &amp; ")" &amp; IF('Kalkulation 1'!$AH$33," " &amp; 'Kalkulation 1'!$R$9,"")</f>
        <v>Dammbalken 50/200 exkl. Dichtung, gesägt und entgratet (0 kg/Stk)</v>
      </c>
      <c r="H503" s="989"/>
      <c r="I503" s="989"/>
      <c r="J503" s="989"/>
      <c r="K503" s="989"/>
      <c r="L503" s="989"/>
      <c r="M503" s="990"/>
      <c r="N503" s="313"/>
      <c r="O503" s="426">
        <f t="shared" si="18"/>
        <v>0</v>
      </c>
      <c r="P503" s="286"/>
    </row>
    <row r="504" spans="2:16" ht="32.1" hidden="1" customHeight="1">
      <c r="B504" s="556"/>
      <c r="C504" s="312">
        <v>0</v>
      </c>
      <c r="D504" s="317">
        <f t="shared" si="17"/>
        <v>0</v>
      </c>
      <c r="E504" s="318" t="str">
        <f>VLOOKUP("[m]",Sprachindex!$A:$Z,Haftungsausschluß!$O$6,FALSE)</f>
        <v>[m]</v>
      </c>
      <c r="F504" s="318" t="str">
        <f>IF($L$14=1,Preisliste!$E$13,Preisliste!$F$13)</f>
        <v>H501001</v>
      </c>
      <c r="G504" s="988" t="str">
        <f>VLOOKUP("Dammbalken 50/200 exkl. Dichtung, gesägt und entgratet",Sprachindex!$A:$Z,Haftungsausschluß!$O$6,FALSE) &amp; " (" &amp; ROUNDUP(C504/1000*4.12,2) &amp; " " &amp; VLOOKUP("kg/Stk",Sprachindex!$A:$Z,Haftungsausschluß!$O$6,FALSE) &amp; ")" &amp; IF('Kalkulation 1'!$AH$33," " &amp; 'Kalkulation 1'!$R$9,"")</f>
        <v>Dammbalken 50/200 exkl. Dichtung, gesägt und entgratet (0 kg/Stk)</v>
      </c>
      <c r="H504" s="989"/>
      <c r="I504" s="989"/>
      <c r="J504" s="989"/>
      <c r="K504" s="989"/>
      <c r="L504" s="989"/>
      <c r="M504" s="990"/>
      <c r="N504" s="313"/>
      <c r="O504" s="426">
        <f t="shared" si="18"/>
        <v>0</v>
      </c>
      <c r="P504" s="286"/>
    </row>
    <row r="505" spans="2:16" ht="32.1" hidden="1" customHeight="1">
      <c r="B505" s="556"/>
      <c r="C505" s="312">
        <v>0</v>
      </c>
      <c r="D505" s="317">
        <f t="shared" si="17"/>
        <v>0</v>
      </c>
      <c r="E505" s="318" t="str">
        <f>VLOOKUP("[m]",Sprachindex!$A:$Z,Haftungsausschluß!$O$6,FALSE)</f>
        <v>[m]</v>
      </c>
      <c r="F505" s="318" t="str">
        <f>IF($L$14=1,Preisliste!$E$13,Preisliste!$F$13)</f>
        <v>H501001</v>
      </c>
      <c r="G505" s="988" t="str">
        <f>VLOOKUP("Dammbalken 50/200 exkl. Dichtung, gesägt und entgratet",Sprachindex!$A:$Z,Haftungsausschluß!$O$6,FALSE) &amp; " (" &amp; ROUNDUP(C505/1000*4.12,2) &amp; " " &amp; VLOOKUP("kg/Stk",Sprachindex!$A:$Z,Haftungsausschluß!$O$6,FALSE) &amp; ")" &amp; IF('Kalkulation 1'!$AH$33," " &amp; 'Kalkulation 1'!$R$9,"")</f>
        <v>Dammbalken 50/200 exkl. Dichtung, gesägt und entgratet (0 kg/Stk)</v>
      </c>
      <c r="H505" s="989"/>
      <c r="I505" s="989"/>
      <c r="J505" s="989"/>
      <c r="K505" s="989"/>
      <c r="L505" s="989"/>
      <c r="M505" s="990"/>
      <c r="N505" s="313"/>
      <c r="O505" s="426">
        <f t="shared" si="18"/>
        <v>0</v>
      </c>
      <c r="P505" s="286"/>
    </row>
    <row r="506" spans="2:16" ht="32.1" hidden="1" customHeight="1">
      <c r="B506" s="556"/>
      <c r="C506" s="312">
        <v>0</v>
      </c>
      <c r="D506" s="317">
        <f t="shared" si="17"/>
        <v>0</v>
      </c>
      <c r="E506" s="318" t="str">
        <f>VLOOKUP("[m]",Sprachindex!$A:$Z,Haftungsausschluß!$O$6,FALSE)</f>
        <v>[m]</v>
      </c>
      <c r="F506" s="318" t="str">
        <f>IF($L$14=1,Preisliste!$E$13,Preisliste!$F$13)</f>
        <v>H501001</v>
      </c>
      <c r="G506" s="988" t="str">
        <f>VLOOKUP("Dammbalken 50/200 exkl. Dichtung, gesägt und entgratet",Sprachindex!$A:$Z,Haftungsausschluß!$O$6,FALSE) &amp; " (" &amp; ROUNDUP(C506/1000*4.12,2) &amp; " " &amp; VLOOKUP("kg/Stk",Sprachindex!$A:$Z,Haftungsausschluß!$O$6,FALSE) &amp; ")" &amp; IF('Kalkulation 1'!$AH$33," " &amp; 'Kalkulation 1'!$R$9,"")</f>
        <v>Dammbalken 50/200 exkl. Dichtung, gesägt und entgratet (0 kg/Stk)</v>
      </c>
      <c r="H506" s="989"/>
      <c r="I506" s="989"/>
      <c r="J506" s="989"/>
      <c r="K506" s="989"/>
      <c r="L506" s="989"/>
      <c r="M506" s="990"/>
      <c r="N506" s="313"/>
      <c r="O506" s="426">
        <f t="shared" si="18"/>
        <v>0</v>
      </c>
      <c r="P506" s="286"/>
    </row>
    <row r="507" spans="2:16" ht="32.1" hidden="1" customHeight="1">
      <c r="B507" s="556"/>
      <c r="C507" s="312">
        <v>905</v>
      </c>
      <c r="D507" s="317">
        <f t="shared" si="17"/>
        <v>0</v>
      </c>
      <c r="E507" s="318" t="str">
        <f>VLOOKUP("[m]",Sprachindex!$A:$Z,Haftungsausschluß!$O$6,FALSE)</f>
        <v>[m]</v>
      </c>
      <c r="F507" s="318" t="str">
        <f>IF($L$14=1,Preisliste!$E$16,Preisliste!$F$16)</f>
        <v>H801001</v>
      </c>
      <c r="G507" s="988" t="str">
        <f>VLOOKUP("Dammbalken 80/200 exkl. Dichtung, gesägt und entgratet",Sprachindex!$A:$Z,Haftungsausschluß!$O$6,FALSE) &amp; " (" &amp; ROUNDUP(C507/1000*7.78,2) &amp; " " &amp; VLOOKUP("kg/Stk",Sprachindex!$A:$Z,Haftungsausschluß!$O$6,FALSE) &amp; ")" &amp; IF('Kalkulation 1'!$AH$33," " &amp; 'Kalkulation 1'!$R$9,"")</f>
        <v>Dammbalken 80/200 exkl. Dichtung, gesägt und entgratet (7.05 kg/Stk)</v>
      </c>
      <c r="H507" s="989"/>
      <c r="I507" s="989"/>
      <c r="J507" s="989"/>
      <c r="K507" s="989"/>
      <c r="L507" s="989"/>
      <c r="M507" s="990"/>
      <c r="N507" s="553"/>
      <c r="O507" s="554">
        <f t="shared" si="18"/>
        <v>0</v>
      </c>
      <c r="P507" s="286"/>
    </row>
    <row r="508" spans="2:16" ht="32.1" hidden="1" customHeight="1">
      <c r="B508" s="556"/>
      <c r="C508" s="312">
        <v>0</v>
      </c>
      <c r="D508" s="317">
        <f t="shared" si="17"/>
        <v>0</v>
      </c>
      <c r="E508" s="318" t="str">
        <f>VLOOKUP("[m]",Sprachindex!$A:$Z,Haftungsausschluß!$O$6,FALSE)</f>
        <v>[m]</v>
      </c>
      <c r="F508" s="318" t="str">
        <f>IF($L$14=1,Preisliste!$E$16,Preisliste!$F$16)</f>
        <v>H801001</v>
      </c>
      <c r="G508" s="988" t="str">
        <f>VLOOKUP("Dammbalken 80/200 exkl. Dichtung, gesägt und entgratet",Sprachindex!$A:$Z,Haftungsausschluß!$O$6,FALSE) &amp; " (" &amp; ROUNDUP(C508/1000*7.78,2) &amp; " " &amp; VLOOKUP("kg/Stk",Sprachindex!$A:$Z,Haftungsausschluß!$O$6,FALSE) &amp; ")" &amp; IF('Kalkulation 1'!$AH$33," " &amp; 'Kalkulation 1'!$R$9,"")</f>
        <v>Dammbalken 80/200 exkl. Dichtung, gesägt und entgratet (0 kg/Stk)</v>
      </c>
      <c r="H508" s="989"/>
      <c r="I508" s="989"/>
      <c r="J508" s="989"/>
      <c r="K508" s="989"/>
      <c r="L508" s="989"/>
      <c r="M508" s="990"/>
      <c r="N508" s="313"/>
      <c r="O508" s="426">
        <f t="shared" si="18"/>
        <v>0</v>
      </c>
      <c r="P508" s="286"/>
    </row>
    <row r="509" spans="2:16" ht="32.1" hidden="1" customHeight="1">
      <c r="B509" s="556"/>
      <c r="C509" s="312">
        <v>0</v>
      </c>
      <c r="D509" s="317">
        <f t="shared" si="17"/>
        <v>0</v>
      </c>
      <c r="E509" s="318" t="str">
        <f>VLOOKUP("[m]",Sprachindex!$A:$Z,Haftungsausschluß!$O$6,FALSE)</f>
        <v>[m]</v>
      </c>
      <c r="F509" s="318" t="str">
        <f>IF($L$14=1,Preisliste!$E$16,Preisliste!$F$16)</f>
        <v>H801001</v>
      </c>
      <c r="G509" s="988" t="str">
        <f>VLOOKUP("Dammbalken 80/200 exkl. Dichtung, gesägt und entgratet",Sprachindex!$A:$Z,Haftungsausschluß!$O$6,FALSE) &amp; " (" &amp; ROUNDUP(C509/1000*7.78,2) &amp; " " &amp; VLOOKUP("kg/Stk",Sprachindex!$A:$Z,Haftungsausschluß!$O$6,FALSE) &amp; ")" &amp; IF('Kalkulation 1'!$AH$33," " &amp; 'Kalkulation 1'!$R$9,"")</f>
        <v>Dammbalken 80/200 exkl. Dichtung, gesägt und entgratet (0 kg/Stk)</v>
      </c>
      <c r="H509" s="989"/>
      <c r="I509" s="989"/>
      <c r="J509" s="989"/>
      <c r="K509" s="989"/>
      <c r="L509" s="989"/>
      <c r="M509" s="990"/>
      <c r="N509" s="313"/>
      <c r="O509" s="426">
        <f t="shared" si="18"/>
        <v>0</v>
      </c>
      <c r="P509" s="286"/>
    </row>
    <row r="510" spans="2:16" ht="32.1" hidden="1" customHeight="1">
      <c r="B510" s="556"/>
      <c r="C510" s="312">
        <v>0</v>
      </c>
      <c r="D510" s="317">
        <f t="shared" si="17"/>
        <v>0</v>
      </c>
      <c r="E510" s="318" t="str">
        <f>VLOOKUP("[m]",Sprachindex!$A:$Z,Haftungsausschluß!$O$6,FALSE)</f>
        <v>[m]</v>
      </c>
      <c r="F510" s="318" t="str">
        <f>IF($L$14=1,Preisliste!$E$16,Preisliste!$F$16)</f>
        <v>H801001</v>
      </c>
      <c r="G510" s="988" t="str">
        <f>VLOOKUP("Dammbalken 80/200 exkl. Dichtung, gesägt und entgratet",Sprachindex!$A:$Z,Haftungsausschluß!$O$6,FALSE) &amp; " (" &amp; ROUNDUP(C510/1000*7.78,2) &amp; " " &amp; VLOOKUP("kg/Stk",Sprachindex!$A:$Z,Haftungsausschluß!$O$6,FALSE) &amp; ")" &amp; IF('Kalkulation 1'!$AH$33," " &amp; 'Kalkulation 1'!$R$9,"")</f>
        <v>Dammbalken 80/200 exkl. Dichtung, gesägt und entgratet (0 kg/Stk)</v>
      </c>
      <c r="H510" s="989"/>
      <c r="I510" s="989"/>
      <c r="J510" s="989"/>
      <c r="K510" s="989"/>
      <c r="L510" s="989"/>
      <c r="M510" s="990"/>
      <c r="N510" s="313"/>
      <c r="O510" s="426">
        <f t="shared" si="18"/>
        <v>0</v>
      </c>
      <c r="P510" s="286"/>
    </row>
    <row r="511" spans="2:16" ht="32.1" hidden="1" customHeight="1">
      <c r="B511" s="556"/>
      <c r="C511" s="312">
        <v>0</v>
      </c>
      <c r="D511" s="317">
        <f t="shared" si="17"/>
        <v>0</v>
      </c>
      <c r="E511" s="318" t="str">
        <f>VLOOKUP("[m]",Sprachindex!$A:$Z,Haftungsausschluß!$O$6,FALSE)</f>
        <v>[m]</v>
      </c>
      <c r="F511" s="318" t="str">
        <f>IF($L$14=1,Preisliste!$E$16,Preisliste!$F$16)</f>
        <v>H801001</v>
      </c>
      <c r="G511" s="988" t="str">
        <f>VLOOKUP("Dammbalken 80/200 exkl. Dichtung, gesägt und entgratet",Sprachindex!$A:$Z,Haftungsausschluß!$O$6,FALSE) &amp; " (" &amp; ROUNDUP(C511/1000*7.78,2) &amp; " " &amp; VLOOKUP("kg/Stk",Sprachindex!$A:$Z,Haftungsausschluß!$O$6,FALSE) &amp; ")" &amp; IF('Kalkulation 1'!$AH$33," " &amp; 'Kalkulation 1'!$R$9,"")</f>
        <v>Dammbalken 80/200 exkl. Dichtung, gesägt und entgratet (0 kg/Stk)</v>
      </c>
      <c r="H511" s="989"/>
      <c r="I511" s="989"/>
      <c r="J511" s="989"/>
      <c r="K511" s="989"/>
      <c r="L511" s="989"/>
      <c r="M511" s="990"/>
      <c r="N511" s="313"/>
      <c r="O511" s="426">
        <f t="shared" si="18"/>
        <v>0</v>
      </c>
      <c r="P511" s="286"/>
    </row>
    <row r="512" spans="2:16" ht="32.1" hidden="1" customHeight="1">
      <c r="B512" s="556"/>
      <c r="C512" s="312">
        <v>0</v>
      </c>
      <c r="D512" s="317">
        <f t="shared" si="17"/>
        <v>0</v>
      </c>
      <c r="E512" s="318" t="str">
        <f>VLOOKUP("[m]",Sprachindex!$A:$Z,Haftungsausschluß!$O$6,FALSE)</f>
        <v>[m]</v>
      </c>
      <c r="F512" s="318" t="str">
        <f>IF($L$14=1,Preisliste!$E$16,Preisliste!$F$16)</f>
        <v>H801001</v>
      </c>
      <c r="G512" s="988" t="str">
        <f>VLOOKUP("Dammbalken 80/200 exkl. Dichtung, gesägt und entgratet",Sprachindex!$A:$Z,Haftungsausschluß!$O$6,FALSE) &amp; " (" &amp; ROUNDUP(C512/1000*7.78,2) &amp; " " &amp; VLOOKUP("kg/Stk",Sprachindex!$A:$Z,Haftungsausschluß!$O$6,FALSE) &amp; ")" &amp; IF('Kalkulation 1'!$AH$33," " &amp; 'Kalkulation 1'!$R$9,"")</f>
        <v>Dammbalken 80/200 exkl. Dichtung, gesägt und entgratet (0 kg/Stk)</v>
      </c>
      <c r="H512" s="989"/>
      <c r="I512" s="989"/>
      <c r="J512" s="989"/>
      <c r="K512" s="989"/>
      <c r="L512" s="989"/>
      <c r="M512" s="990"/>
      <c r="N512" s="313"/>
      <c r="O512" s="426">
        <f t="shared" si="18"/>
        <v>0</v>
      </c>
      <c r="P512" s="286"/>
    </row>
    <row r="513" spans="2:16" ht="32.1" hidden="1" customHeight="1">
      <c r="B513" s="556"/>
      <c r="C513" s="312">
        <v>0</v>
      </c>
      <c r="D513" s="317">
        <f t="shared" si="17"/>
        <v>0</v>
      </c>
      <c r="E513" s="318" t="str">
        <f>VLOOKUP("[m]",Sprachindex!$A:$Z,Haftungsausschluß!$O$6,FALSE)</f>
        <v>[m]</v>
      </c>
      <c r="F513" s="318" t="str">
        <f>IF($L$14=1,Preisliste!$E$16,Preisliste!$F$16)</f>
        <v>H801001</v>
      </c>
      <c r="G513" s="988" t="str">
        <f>VLOOKUP("Dammbalken 80/200 exkl. Dichtung, gesägt und entgratet",Sprachindex!$A:$Z,Haftungsausschluß!$O$6,FALSE) &amp; " (" &amp; ROUNDUP(C513/1000*7.78,2) &amp; " " &amp; VLOOKUP("kg/Stk",Sprachindex!$A:$Z,Haftungsausschluß!$O$6,FALSE) &amp; ")" &amp; IF('Kalkulation 1'!$AH$33," " &amp; 'Kalkulation 1'!$R$9,"")</f>
        <v>Dammbalken 80/200 exkl. Dichtung, gesägt und entgratet (0 kg/Stk)</v>
      </c>
      <c r="H513" s="989"/>
      <c r="I513" s="989"/>
      <c r="J513" s="989"/>
      <c r="K513" s="989"/>
      <c r="L513" s="989"/>
      <c r="M513" s="990"/>
      <c r="N513" s="313"/>
      <c r="O513" s="426">
        <f t="shared" si="18"/>
        <v>0</v>
      </c>
      <c r="P513" s="286"/>
    </row>
    <row r="514" spans="2:16" ht="32.1" hidden="1" customHeight="1">
      <c r="B514" s="556"/>
      <c r="C514" s="312">
        <v>0</v>
      </c>
      <c r="D514" s="317">
        <f t="shared" si="17"/>
        <v>0</v>
      </c>
      <c r="E514" s="318" t="str">
        <f>VLOOKUP("[m]",Sprachindex!$A:$Z,Haftungsausschluß!$O$6,FALSE)</f>
        <v>[m]</v>
      </c>
      <c r="F514" s="318" t="str">
        <f>IF($L$14=1,Preisliste!$E$16,Preisliste!$F$16)</f>
        <v>H801001</v>
      </c>
      <c r="G514" s="988" t="str">
        <f>VLOOKUP("Dammbalken 80/200 exkl. Dichtung, gesägt und entgratet",Sprachindex!$A:$Z,Haftungsausschluß!$O$6,FALSE) &amp; " (" &amp; ROUNDUP(C514/1000*7.78,2) &amp; " " &amp; VLOOKUP("kg/Stk",Sprachindex!$A:$Z,Haftungsausschluß!$O$6,FALSE) &amp; ")" &amp; IF('Kalkulation 1'!$AH$33," " &amp; 'Kalkulation 1'!$R$9,"")</f>
        <v>Dammbalken 80/200 exkl. Dichtung, gesägt und entgratet (0 kg/Stk)</v>
      </c>
      <c r="H514" s="989"/>
      <c r="I514" s="989"/>
      <c r="J514" s="989"/>
      <c r="K514" s="989"/>
      <c r="L514" s="989"/>
      <c r="M514" s="990"/>
      <c r="N514" s="313"/>
      <c r="O514" s="426">
        <f t="shared" si="18"/>
        <v>0</v>
      </c>
      <c r="P514" s="286"/>
    </row>
    <row r="515" spans="2:16" ht="32.1" hidden="1" customHeight="1">
      <c r="B515" s="556"/>
      <c r="C515" s="312">
        <v>0</v>
      </c>
      <c r="D515" s="317">
        <f t="shared" si="17"/>
        <v>0</v>
      </c>
      <c r="E515" s="318" t="str">
        <f>VLOOKUP("[m]",Sprachindex!$A:$Z,Haftungsausschluß!$O$6,FALSE)</f>
        <v>[m]</v>
      </c>
      <c r="F515" s="318" t="str">
        <f>IF($L$14=1,Preisliste!$E$16,Preisliste!$F$16)</f>
        <v>H801001</v>
      </c>
      <c r="G515" s="988" t="str">
        <f>VLOOKUP("Dammbalken 80/200 exkl. Dichtung, gesägt und entgratet",Sprachindex!$A:$Z,Haftungsausschluß!$O$6,FALSE) &amp; " (" &amp; ROUNDUP(C515/1000*7.78,2) &amp; " " &amp; VLOOKUP("kg/Stk",Sprachindex!$A:$Z,Haftungsausschluß!$O$6,FALSE) &amp; ")" &amp; IF('Kalkulation 1'!$AH$33," " &amp; 'Kalkulation 1'!$R$9,"")</f>
        <v>Dammbalken 80/200 exkl. Dichtung, gesägt und entgratet (0 kg/Stk)</v>
      </c>
      <c r="H515" s="989"/>
      <c r="I515" s="989"/>
      <c r="J515" s="989"/>
      <c r="K515" s="989"/>
      <c r="L515" s="989"/>
      <c r="M515" s="990"/>
      <c r="N515" s="313"/>
      <c r="O515" s="426">
        <f t="shared" si="18"/>
        <v>0</v>
      </c>
      <c r="P515" s="286"/>
    </row>
    <row r="516" spans="2:16" ht="32.1" hidden="1" customHeight="1">
      <c r="B516" s="556"/>
      <c r="C516" s="312">
        <v>0</v>
      </c>
      <c r="D516" s="317">
        <f t="shared" si="17"/>
        <v>0</v>
      </c>
      <c r="E516" s="318" t="str">
        <f>VLOOKUP("[m]",Sprachindex!$A:$Z,Haftungsausschluß!$O$6,FALSE)</f>
        <v>[m]</v>
      </c>
      <c r="F516" s="318" t="str">
        <f>IF($L$14=1,Preisliste!$E$16,Preisliste!$F$16)</f>
        <v>H801001</v>
      </c>
      <c r="G516" s="988" t="str">
        <f>VLOOKUP("Dammbalken 80/200 exkl. Dichtung, gesägt und entgratet",Sprachindex!$A:$Z,Haftungsausschluß!$O$6,FALSE) &amp; " (" &amp; ROUNDUP(C516/1000*7.78,2) &amp; " " &amp; VLOOKUP("kg/Stk",Sprachindex!$A:$Z,Haftungsausschluß!$O$6,FALSE) &amp; ")" &amp; IF('Kalkulation 1'!$AH$33," " &amp; 'Kalkulation 1'!$R$9,"")</f>
        <v>Dammbalken 80/200 exkl. Dichtung, gesägt und entgratet (0 kg/Stk)</v>
      </c>
      <c r="H516" s="989"/>
      <c r="I516" s="989"/>
      <c r="J516" s="989"/>
      <c r="K516" s="989"/>
      <c r="L516" s="989"/>
      <c r="M516" s="990"/>
      <c r="N516" s="313"/>
      <c r="O516" s="426">
        <f t="shared" si="18"/>
        <v>0</v>
      </c>
      <c r="P516" s="286"/>
    </row>
    <row r="517" spans="2:16" ht="32.1" hidden="1" customHeight="1">
      <c r="B517" s="556"/>
      <c r="C517" s="312">
        <v>0</v>
      </c>
      <c r="D517" s="317">
        <f t="shared" si="17"/>
        <v>0</v>
      </c>
      <c r="E517" s="318" t="str">
        <f>VLOOKUP("[m]",Sprachindex!$A:$Z,Haftungsausschluß!$O$6,FALSE)</f>
        <v>[m]</v>
      </c>
      <c r="F517" s="318" t="str">
        <f>IF($L$14=1,Preisliste!$E$16,Preisliste!$F$16)</f>
        <v>H801001</v>
      </c>
      <c r="G517" s="988" t="str">
        <f>VLOOKUP("Dammbalken 80/200 exkl. Dichtung, gesägt und entgratet",Sprachindex!$A:$Z,Haftungsausschluß!$O$6,FALSE) &amp; " (" &amp; ROUNDUP(C517/1000*7.78,2) &amp; " " &amp; VLOOKUP("kg/Stk",Sprachindex!$A:$Z,Haftungsausschluß!$O$6,FALSE) &amp; ")" &amp; IF('Kalkulation 1'!$AH$33," " &amp; 'Kalkulation 1'!$R$9,"")</f>
        <v>Dammbalken 80/200 exkl. Dichtung, gesägt und entgratet (0 kg/Stk)</v>
      </c>
      <c r="H517" s="989"/>
      <c r="I517" s="989"/>
      <c r="J517" s="989"/>
      <c r="K517" s="989"/>
      <c r="L517" s="989"/>
      <c r="M517" s="990"/>
      <c r="N517" s="313"/>
      <c r="O517" s="426">
        <f t="shared" si="18"/>
        <v>0</v>
      </c>
      <c r="P517" s="286"/>
    </row>
    <row r="518" spans="2:16" ht="32.1" hidden="1" customHeight="1">
      <c r="B518" s="556"/>
      <c r="C518" s="312">
        <v>0</v>
      </c>
      <c r="D518" s="317">
        <f t="shared" si="17"/>
        <v>0</v>
      </c>
      <c r="E518" s="318" t="str">
        <f>VLOOKUP("[m]",Sprachindex!$A:$Z,Haftungsausschluß!$O$6,FALSE)</f>
        <v>[m]</v>
      </c>
      <c r="F518" s="318" t="str">
        <f>IF($L$14=1,Preisliste!$E$16,Preisliste!$F$16)</f>
        <v>H801001</v>
      </c>
      <c r="G518" s="988" t="str">
        <f>VLOOKUP("Dammbalken 80/200 exkl. Dichtung, gesägt und entgratet",Sprachindex!$A:$Z,Haftungsausschluß!$O$6,FALSE) &amp; " (" &amp; ROUNDUP(C518/1000*7.78,2) &amp; " " &amp; VLOOKUP("kg/Stk",Sprachindex!$A:$Z,Haftungsausschluß!$O$6,FALSE) &amp; ")" &amp; IF('Kalkulation 1'!$AH$33," " &amp; 'Kalkulation 1'!$R$9,"")</f>
        <v>Dammbalken 80/200 exkl. Dichtung, gesägt und entgratet (0 kg/Stk)</v>
      </c>
      <c r="H518" s="989"/>
      <c r="I518" s="989"/>
      <c r="J518" s="989"/>
      <c r="K518" s="989"/>
      <c r="L518" s="989"/>
      <c r="M518" s="990"/>
      <c r="N518" s="313"/>
      <c r="O518" s="426">
        <f t="shared" si="18"/>
        <v>0</v>
      </c>
      <c r="P518" s="286"/>
    </row>
    <row r="519" spans="2:16" ht="32.1" hidden="1" customHeight="1">
      <c r="B519" s="556"/>
      <c r="C519" s="312">
        <v>0</v>
      </c>
      <c r="D519" s="317">
        <f t="shared" si="17"/>
        <v>0</v>
      </c>
      <c r="E519" s="318" t="str">
        <f>VLOOKUP("[m]",Sprachindex!$A:$Z,Haftungsausschluß!$O$6,FALSE)</f>
        <v>[m]</v>
      </c>
      <c r="F519" s="318" t="str">
        <f>IF($L$14=1,Preisliste!$E$16,Preisliste!$F$16)</f>
        <v>H801001</v>
      </c>
      <c r="G519" s="988" t="str">
        <f>VLOOKUP("Dammbalken 80/200 exkl. Dichtung, gesägt und entgratet",Sprachindex!$A:$Z,Haftungsausschluß!$O$6,FALSE) &amp; " (" &amp; ROUNDUP(C519/1000*7.78,2) &amp; " " &amp; VLOOKUP("kg/Stk",Sprachindex!$A:$Z,Haftungsausschluß!$O$6,FALSE) &amp; ")" &amp; IF('Kalkulation 1'!$AH$33," " &amp; 'Kalkulation 1'!$R$9,"")</f>
        <v>Dammbalken 80/200 exkl. Dichtung, gesägt und entgratet (0 kg/Stk)</v>
      </c>
      <c r="H519" s="989"/>
      <c r="I519" s="989"/>
      <c r="J519" s="989"/>
      <c r="K519" s="989"/>
      <c r="L519" s="989"/>
      <c r="M519" s="990"/>
      <c r="N519" s="313"/>
      <c r="O519" s="426">
        <f t="shared" si="18"/>
        <v>0</v>
      </c>
      <c r="P519" s="286"/>
    </row>
    <row r="520" spans="2:16" ht="32.1" hidden="1" customHeight="1">
      <c r="B520" s="556"/>
      <c r="C520" s="312">
        <v>0</v>
      </c>
      <c r="D520" s="317">
        <f t="shared" si="17"/>
        <v>0</v>
      </c>
      <c r="E520" s="318" t="str">
        <f>VLOOKUP("[m]",Sprachindex!$A:$Z,Haftungsausschluß!$O$6,FALSE)</f>
        <v>[m]</v>
      </c>
      <c r="F520" s="318" t="str">
        <f>IF($L$14=1,Preisliste!$E$16,Preisliste!$F$16)</f>
        <v>H801001</v>
      </c>
      <c r="G520" s="988" t="str">
        <f>VLOOKUP("Dammbalken 80/200 exkl. Dichtung, gesägt und entgratet",Sprachindex!$A:$Z,Haftungsausschluß!$O$6,FALSE) &amp; " (" &amp; ROUNDUP(C520/1000*7.78,2) &amp; " " &amp; VLOOKUP("kg/Stk",Sprachindex!$A:$Z,Haftungsausschluß!$O$6,FALSE) &amp; ")" &amp; IF('Kalkulation 1'!$AH$33," " &amp; 'Kalkulation 1'!$R$9,"")</f>
        <v>Dammbalken 80/200 exkl. Dichtung, gesägt und entgratet (0 kg/Stk)</v>
      </c>
      <c r="H520" s="989"/>
      <c r="I520" s="989"/>
      <c r="J520" s="989"/>
      <c r="K520" s="989"/>
      <c r="L520" s="989"/>
      <c r="M520" s="990"/>
      <c r="N520" s="313"/>
      <c r="O520" s="426">
        <f t="shared" si="18"/>
        <v>0</v>
      </c>
      <c r="P520" s="286"/>
    </row>
    <row r="521" spans="2:16" ht="32.1" hidden="1" customHeight="1">
      <c r="B521" s="556"/>
      <c r="C521" s="312">
        <v>0</v>
      </c>
      <c r="D521" s="317">
        <f t="shared" si="17"/>
        <v>0</v>
      </c>
      <c r="E521" s="318" t="str">
        <f>VLOOKUP("[m]",Sprachindex!$A:$Z,Haftungsausschluß!$O$6,FALSE)</f>
        <v>[m]</v>
      </c>
      <c r="F521" s="318" t="str">
        <f>IF($L$14=1,Preisliste!$E$16,Preisliste!$F$16)</f>
        <v>H801001</v>
      </c>
      <c r="G521" s="988" t="str">
        <f>VLOOKUP("Dammbalken 80/200 exkl. Dichtung, gesägt und entgratet",Sprachindex!$A:$Z,Haftungsausschluß!$O$6,FALSE) &amp; " (" &amp; ROUNDUP(C521/1000*7.78,2) &amp; " " &amp; VLOOKUP("kg/Stk",Sprachindex!$A:$Z,Haftungsausschluß!$O$6,FALSE) &amp; ")" &amp; IF('Kalkulation 1'!$AH$33," " &amp; 'Kalkulation 1'!$R$9,"")</f>
        <v>Dammbalken 80/200 exkl. Dichtung, gesägt und entgratet (0 kg/Stk)</v>
      </c>
      <c r="H521" s="989"/>
      <c r="I521" s="989"/>
      <c r="J521" s="989"/>
      <c r="K521" s="989"/>
      <c r="L521" s="989"/>
      <c r="M521" s="990"/>
      <c r="N521" s="313"/>
      <c r="O521" s="426">
        <f t="shared" si="18"/>
        <v>0</v>
      </c>
      <c r="P521" s="286"/>
    </row>
    <row r="522" spans="2:16" ht="32.1" hidden="1" customHeight="1">
      <c r="B522" s="556"/>
      <c r="C522" s="312">
        <v>0</v>
      </c>
      <c r="D522" s="317">
        <f t="shared" si="17"/>
        <v>0</v>
      </c>
      <c r="E522" s="318" t="str">
        <f>VLOOKUP("[m]",Sprachindex!$A:$Z,Haftungsausschluß!$O$6,FALSE)</f>
        <v>[m]</v>
      </c>
      <c r="F522" s="318" t="str">
        <f>IF($L$14=1,Preisliste!$E$16,Preisliste!$F$16)</f>
        <v>H801001</v>
      </c>
      <c r="G522" s="988" t="str">
        <f>VLOOKUP("Dammbalken 80/200 exkl. Dichtung, gesägt und entgratet",Sprachindex!$A:$Z,Haftungsausschluß!$O$6,FALSE) &amp; " (" &amp; ROUNDUP(C522/1000*7.78,2) &amp; " " &amp; VLOOKUP("kg/Stk",Sprachindex!$A:$Z,Haftungsausschluß!$O$6,FALSE) &amp; ")" &amp; IF('Kalkulation 1'!$AH$33," " &amp; 'Kalkulation 1'!$R$9,"")</f>
        <v>Dammbalken 80/200 exkl. Dichtung, gesägt und entgratet (0 kg/Stk)</v>
      </c>
      <c r="H522" s="989"/>
      <c r="I522" s="989"/>
      <c r="J522" s="989"/>
      <c r="K522" s="989"/>
      <c r="L522" s="989"/>
      <c r="M522" s="990"/>
      <c r="N522" s="313"/>
      <c r="O522" s="426">
        <f t="shared" si="18"/>
        <v>0</v>
      </c>
      <c r="P522" s="286"/>
    </row>
    <row r="523" spans="2:16" ht="32.1" hidden="1" customHeight="1">
      <c r="B523" s="556"/>
      <c r="C523" s="312">
        <v>0</v>
      </c>
      <c r="D523" s="317">
        <f t="shared" si="17"/>
        <v>0</v>
      </c>
      <c r="E523" s="318" t="str">
        <f>VLOOKUP("[m]",Sprachindex!$A:$Z,Haftungsausschluß!$O$6,FALSE)</f>
        <v>[m]</v>
      </c>
      <c r="F523" s="318" t="str">
        <f>IF($L$14=1,Preisliste!$E$16,Preisliste!$F$16)</f>
        <v>H801001</v>
      </c>
      <c r="G523" s="988" t="str">
        <f>VLOOKUP("Dammbalken 80/200 exkl. Dichtung, gesägt und entgratet",Sprachindex!$A:$Z,Haftungsausschluß!$O$6,FALSE) &amp; " (" &amp; ROUNDUP(C523/1000*7.78,2) &amp; " " &amp; VLOOKUP("kg/Stk",Sprachindex!$A:$Z,Haftungsausschluß!$O$6,FALSE) &amp; ")" &amp; IF('Kalkulation 1'!$AH$33," " &amp; 'Kalkulation 1'!$R$9,"")</f>
        <v>Dammbalken 80/200 exkl. Dichtung, gesägt und entgratet (0 kg/Stk)</v>
      </c>
      <c r="H523" s="989"/>
      <c r="I523" s="989"/>
      <c r="J523" s="989"/>
      <c r="K523" s="989"/>
      <c r="L523" s="989"/>
      <c r="M523" s="990"/>
      <c r="N523" s="313"/>
      <c r="O523" s="426">
        <f t="shared" si="18"/>
        <v>0</v>
      </c>
      <c r="P523" s="286"/>
    </row>
    <row r="524" spans="2:16" ht="32.1" hidden="1" customHeight="1">
      <c r="B524" s="556"/>
      <c r="C524" s="312">
        <v>0</v>
      </c>
      <c r="D524" s="317">
        <f t="shared" si="17"/>
        <v>0</v>
      </c>
      <c r="E524" s="318" t="str">
        <f>VLOOKUP("[m]",Sprachindex!$A:$Z,Haftungsausschluß!$O$6,FALSE)</f>
        <v>[m]</v>
      </c>
      <c r="F524" s="318" t="str">
        <f>IF($L$14=1,Preisliste!$E$16,Preisliste!$F$16)</f>
        <v>H801001</v>
      </c>
      <c r="G524" s="988" t="str">
        <f>VLOOKUP("Dammbalken 80/200 exkl. Dichtung, gesägt und entgratet",Sprachindex!$A:$Z,Haftungsausschluß!$O$6,FALSE) &amp; " (" &amp; ROUNDUP(C524/1000*7.78,2) &amp; " " &amp; VLOOKUP("kg/Stk",Sprachindex!$A:$Z,Haftungsausschluß!$O$6,FALSE) &amp; ")" &amp; IF('Kalkulation 1'!$AH$33," " &amp; 'Kalkulation 1'!$R$9,"")</f>
        <v>Dammbalken 80/200 exkl. Dichtung, gesägt und entgratet (0 kg/Stk)</v>
      </c>
      <c r="H524" s="989"/>
      <c r="I524" s="989"/>
      <c r="J524" s="989"/>
      <c r="K524" s="989"/>
      <c r="L524" s="989"/>
      <c r="M524" s="990"/>
      <c r="N524" s="313"/>
      <c r="O524" s="426">
        <f t="shared" si="18"/>
        <v>0</v>
      </c>
      <c r="P524" s="286"/>
    </row>
    <row r="525" spans="2:16" ht="32.1" hidden="1" customHeight="1">
      <c r="B525" s="556"/>
      <c r="C525" s="312">
        <v>0</v>
      </c>
      <c r="D525" s="317">
        <f t="shared" si="17"/>
        <v>0</v>
      </c>
      <c r="E525" s="318" t="str">
        <f>VLOOKUP("[m]",Sprachindex!$A:$Z,Haftungsausschluß!$O$6,FALSE)</f>
        <v>[m]</v>
      </c>
      <c r="F525" s="318" t="str">
        <f>IF($L$14=1,Preisliste!$E$16,Preisliste!$F$16)</f>
        <v>H801001</v>
      </c>
      <c r="G525" s="988" t="str">
        <f>VLOOKUP("Dammbalken 80/200 exkl. Dichtung, gesägt und entgratet",Sprachindex!$A:$Z,Haftungsausschluß!$O$6,FALSE) &amp; " (" &amp; ROUNDUP(C525/1000*7.78,2) &amp; " " &amp; VLOOKUP("kg/Stk",Sprachindex!$A:$Z,Haftungsausschluß!$O$6,FALSE) &amp; ")" &amp; IF('Kalkulation 1'!$AH$33," " &amp; 'Kalkulation 1'!$R$9,"")</f>
        <v>Dammbalken 80/200 exkl. Dichtung, gesägt und entgratet (0 kg/Stk)</v>
      </c>
      <c r="H525" s="989"/>
      <c r="I525" s="989"/>
      <c r="J525" s="989"/>
      <c r="K525" s="989"/>
      <c r="L525" s="989"/>
      <c r="M525" s="990"/>
      <c r="N525" s="313"/>
      <c r="O525" s="426">
        <f t="shared" si="18"/>
        <v>0</v>
      </c>
      <c r="P525" s="286"/>
    </row>
    <row r="526" spans="2:16" ht="32.1" hidden="1" customHeight="1">
      <c r="B526" s="556"/>
      <c r="C526" s="312">
        <v>0</v>
      </c>
      <c r="D526" s="317">
        <f t="shared" si="17"/>
        <v>0</v>
      </c>
      <c r="E526" s="318" t="str">
        <f>VLOOKUP("[m]",Sprachindex!$A:$Z,Haftungsausschluß!$O$6,FALSE)</f>
        <v>[m]</v>
      </c>
      <c r="F526" s="318" t="str">
        <f>IF($L$14=1,Preisliste!$E$16,Preisliste!$F$16)</f>
        <v>H801001</v>
      </c>
      <c r="G526" s="988" t="str">
        <f>VLOOKUP("Dammbalken 80/200 exkl. Dichtung, gesägt und entgratet",Sprachindex!$A:$Z,Haftungsausschluß!$O$6,FALSE) &amp; " (" &amp; ROUNDUP(C526/1000*7.78,2) &amp; " " &amp; VLOOKUP("kg/Stk",Sprachindex!$A:$Z,Haftungsausschluß!$O$6,FALSE) &amp; ")" &amp; IF('Kalkulation 1'!$AH$33," " &amp; 'Kalkulation 1'!$R$9,"")</f>
        <v>Dammbalken 80/200 exkl. Dichtung, gesägt und entgratet (0 kg/Stk)</v>
      </c>
      <c r="H526" s="989"/>
      <c r="I526" s="989"/>
      <c r="J526" s="989"/>
      <c r="K526" s="989"/>
      <c r="L526" s="989"/>
      <c r="M526" s="990"/>
      <c r="N526" s="313"/>
      <c r="O526" s="426">
        <f t="shared" si="18"/>
        <v>0</v>
      </c>
      <c r="P526" s="286"/>
    </row>
    <row r="527" spans="2:16" ht="32.1" hidden="1" customHeight="1">
      <c r="B527" s="556"/>
      <c r="C527" s="312">
        <v>0</v>
      </c>
      <c r="D527" s="317">
        <f t="shared" ref="D527:D590" si="19">B527*C527/1000</f>
        <v>0</v>
      </c>
      <c r="E527" s="318" t="str">
        <f>VLOOKUP("[m]",Sprachindex!$A:$Z,Haftungsausschluß!$O$6,FALSE)</f>
        <v>[m]</v>
      </c>
      <c r="F527" s="318" t="str">
        <f>IF($L$14=1,Preisliste!$E$16,Preisliste!$F$16)</f>
        <v>H801001</v>
      </c>
      <c r="G527" s="988" t="str">
        <f>VLOOKUP("Dammbalken 80/200 exkl. Dichtung, gesägt und entgratet",Sprachindex!$A:$Z,Haftungsausschluß!$O$6,FALSE) &amp; " (" &amp; ROUNDUP(C527/1000*7.78,2) &amp; " " &amp; VLOOKUP("kg/Stk",Sprachindex!$A:$Z,Haftungsausschluß!$O$6,FALSE) &amp; ")" &amp; IF('Kalkulation 1'!$AH$33," " &amp; 'Kalkulation 1'!$R$9,"")</f>
        <v>Dammbalken 80/200 exkl. Dichtung, gesägt und entgratet (0 kg/Stk)</v>
      </c>
      <c r="H527" s="989"/>
      <c r="I527" s="989"/>
      <c r="J527" s="989"/>
      <c r="K527" s="989"/>
      <c r="L527" s="989"/>
      <c r="M527" s="990"/>
      <c r="N527" s="313"/>
      <c r="O527" s="426">
        <f t="shared" ref="O527:O590" si="20">N527*D527</f>
        <v>0</v>
      </c>
      <c r="P527" s="286"/>
    </row>
    <row r="528" spans="2:16" ht="32.1" hidden="1" customHeight="1">
      <c r="B528" s="556"/>
      <c r="C528" s="312">
        <v>0</v>
      </c>
      <c r="D528" s="317">
        <f t="shared" si="19"/>
        <v>0</v>
      </c>
      <c r="E528" s="318" t="str">
        <f>VLOOKUP("[m]",Sprachindex!$A:$Z,Haftungsausschluß!$O$6,FALSE)</f>
        <v>[m]</v>
      </c>
      <c r="F528" s="318" t="str">
        <f>IF($L$14=1,Preisliste!$E$16,Preisliste!$F$16)</f>
        <v>H801001</v>
      </c>
      <c r="G528" s="988" t="str">
        <f>VLOOKUP("Dammbalken 80/200 exkl. Dichtung, gesägt und entgratet",Sprachindex!$A:$Z,Haftungsausschluß!$O$6,FALSE) &amp; " (" &amp; ROUNDUP(C528/1000*7.78,2) &amp; " " &amp; VLOOKUP("kg/Stk",Sprachindex!$A:$Z,Haftungsausschluß!$O$6,FALSE) &amp; ")" &amp; IF('Kalkulation 1'!$AH$33," " &amp; 'Kalkulation 1'!$R$9,"")</f>
        <v>Dammbalken 80/200 exkl. Dichtung, gesägt und entgratet (0 kg/Stk)</v>
      </c>
      <c r="H528" s="989"/>
      <c r="I528" s="989"/>
      <c r="J528" s="989"/>
      <c r="K528" s="989"/>
      <c r="L528" s="989"/>
      <c r="M528" s="990"/>
      <c r="N528" s="313"/>
      <c r="O528" s="426">
        <f t="shared" si="20"/>
        <v>0</v>
      </c>
      <c r="P528" s="286"/>
    </row>
    <row r="529" spans="2:16" ht="32.1" hidden="1" customHeight="1">
      <c r="B529" s="556"/>
      <c r="C529" s="312">
        <v>0</v>
      </c>
      <c r="D529" s="317">
        <f t="shared" si="19"/>
        <v>0</v>
      </c>
      <c r="E529" s="318" t="str">
        <f>VLOOKUP("[m]",Sprachindex!$A:$Z,Haftungsausschluß!$O$6,FALSE)</f>
        <v>[m]</v>
      </c>
      <c r="F529" s="318" t="str">
        <f>IF($L$14=1,Preisliste!$E$16,Preisliste!$F$16)</f>
        <v>H801001</v>
      </c>
      <c r="G529" s="988" t="str">
        <f>VLOOKUP("Dammbalken 80/200 exkl. Dichtung, gesägt und entgratet",Sprachindex!$A:$Z,Haftungsausschluß!$O$6,FALSE) &amp; " (" &amp; ROUNDUP(C529/1000*7.78,2) &amp; " " &amp; VLOOKUP("kg/Stk",Sprachindex!$A:$Z,Haftungsausschluß!$O$6,FALSE) &amp; ")" &amp; IF('Kalkulation 1'!$AH$33," " &amp; 'Kalkulation 1'!$R$9,"")</f>
        <v>Dammbalken 80/200 exkl. Dichtung, gesägt und entgratet (0 kg/Stk)</v>
      </c>
      <c r="H529" s="989"/>
      <c r="I529" s="989"/>
      <c r="J529" s="989"/>
      <c r="K529" s="989"/>
      <c r="L529" s="989"/>
      <c r="M529" s="990"/>
      <c r="N529" s="313"/>
      <c r="O529" s="426">
        <f t="shared" si="20"/>
        <v>0</v>
      </c>
      <c r="P529" s="286"/>
    </row>
    <row r="530" spans="2:16" ht="32.1" hidden="1" customHeight="1">
      <c r="B530" s="556"/>
      <c r="C530" s="312">
        <v>0</v>
      </c>
      <c r="D530" s="317">
        <f t="shared" si="19"/>
        <v>0</v>
      </c>
      <c r="E530" s="318" t="str">
        <f>VLOOKUP("[m]",Sprachindex!$A:$Z,Haftungsausschluß!$O$6,FALSE)</f>
        <v>[m]</v>
      </c>
      <c r="F530" s="318" t="str">
        <f>IF($L$14=1,Preisliste!$E$16,Preisliste!$F$16)</f>
        <v>H801001</v>
      </c>
      <c r="G530" s="988" t="str">
        <f>VLOOKUP("Dammbalken 80/200 exkl. Dichtung, gesägt und entgratet",Sprachindex!$A:$Z,Haftungsausschluß!$O$6,FALSE) &amp; " (" &amp; ROUNDUP(C530/1000*7.78,2) &amp; " " &amp; VLOOKUP("kg/Stk",Sprachindex!$A:$Z,Haftungsausschluß!$O$6,FALSE) &amp; ")" &amp; IF('Kalkulation 1'!$AH$33," " &amp; 'Kalkulation 1'!$R$9,"")</f>
        <v>Dammbalken 80/200 exkl. Dichtung, gesägt und entgratet (0 kg/Stk)</v>
      </c>
      <c r="H530" s="989"/>
      <c r="I530" s="989"/>
      <c r="J530" s="989"/>
      <c r="K530" s="989"/>
      <c r="L530" s="989"/>
      <c r="M530" s="990"/>
      <c r="N530" s="313"/>
      <c r="O530" s="426">
        <f t="shared" si="20"/>
        <v>0</v>
      </c>
      <c r="P530" s="286"/>
    </row>
    <row r="531" spans="2:16" ht="32.1" hidden="1" customHeight="1">
      <c r="B531" s="556"/>
      <c r="C531" s="312">
        <v>0</v>
      </c>
      <c r="D531" s="317">
        <f t="shared" si="19"/>
        <v>0</v>
      </c>
      <c r="E531" s="318" t="str">
        <f>VLOOKUP("[m]",Sprachindex!$A:$Z,Haftungsausschluß!$O$6,FALSE)</f>
        <v>[m]</v>
      </c>
      <c r="F531" s="318" t="str">
        <f>IF($L$14=1,Preisliste!$E$16,Preisliste!$F$16)</f>
        <v>H801001</v>
      </c>
      <c r="G531" s="988" t="str">
        <f>VLOOKUP("Dammbalken 80/200 exkl. Dichtung, gesägt und entgratet",Sprachindex!$A:$Z,Haftungsausschluß!$O$6,FALSE) &amp; " (" &amp; ROUNDUP(C531/1000*7.78,2) &amp; " " &amp; VLOOKUP("kg/Stk",Sprachindex!$A:$Z,Haftungsausschluß!$O$6,FALSE) &amp; ")" &amp; IF('Kalkulation 1'!$AH$33," " &amp; 'Kalkulation 1'!$R$9,"")</f>
        <v>Dammbalken 80/200 exkl. Dichtung, gesägt und entgratet (0 kg/Stk)</v>
      </c>
      <c r="H531" s="989"/>
      <c r="I531" s="989"/>
      <c r="J531" s="989"/>
      <c r="K531" s="989"/>
      <c r="L531" s="989"/>
      <c r="M531" s="990"/>
      <c r="N531" s="313"/>
      <c r="O531" s="426">
        <f t="shared" si="20"/>
        <v>0</v>
      </c>
      <c r="P531" s="286"/>
    </row>
    <row r="532" spans="2:16" ht="32.1" hidden="1" customHeight="1">
      <c r="B532" s="556"/>
      <c r="C532" s="312">
        <v>0</v>
      </c>
      <c r="D532" s="317">
        <f t="shared" si="19"/>
        <v>0</v>
      </c>
      <c r="E532" s="318" t="str">
        <f>VLOOKUP("[m]",Sprachindex!$A:$Z,Haftungsausschluß!$O$6,FALSE)</f>
        <v>[m]</v>
      </c>
      <c r="F532" s="318" t="str">
        <f>IF($L$14=1,Preisliste!$E$16,Preisliste!$F$16)</f>
        <v>H801001</v>
      </c>
      <c r="G532" s="988" t="str">
        <f>VLOOKUP("Dammbalken 80/200 exkl. Dichtung, gesägt und entgratet",Sprachindex!$A:$Z,Haftungsausschluß!$O$6,FALSE) &amp; " (" &amp; ROUNDUP(C532/1000*7.78,2) &amp; " " &amp; VLOOKUP("kg/Stk",Sprachindex!$A:$Z,Haftungsausschluß!$O$6,FALSE) &amp; ")" &amp; IF('Kalkulation 1'!$AH$33," " &amp; 'Kalkulation 1'!$R$9,"")</f>
        <v>Dammbalken 80/200 exkl. Dichtung, gesägt und entgratet (0 kg/Stk)</v>
      </c>
      <c r="H532" s="989"/>
      <c r="I532" s="989"/>
      <c r="J532" s="989"/>
      <c r="K532" s="989"/>
      <c r="L532" s="989"/>
      <c r="M532" s="990"/>
      <c r="N532" s="313"/>
      <c r="O532" s="426">
        <f t="shared" si="20"/>
        <v>0</v>
      </c>
      <c r="P532" s="286"/>
    </row>
    <row r="533" spans="2:16" ht="32.1" hidden="1" customHeight="1">
      <c r="B533" s="556"/>
      <c r="C533" s="312">
        <v>0</v>
      </c>
      <c r="D533" s="317">
        <f t="shared" si="19"/>
        <v>0</v>
      </c>
      <c r="E533" s="318" t="str">
        <f>VLOOKUP("[m]",Sprachindex!$A:$Z,Haftungsausschluß!$O$6,FALSE)</f>
        <v>[m]</v>
      </c>
      <c r="F533" s="318" t="str">
        <f>IF($L$14=1,Preisliste!$E$16,Preisliste!$F$16)</f>
        <v>H801001</v>
      </c>
      <c r="G533" s="988" t="str">
        <f>VLOOKUP("Dammbalken 80/200 exkl. Dichtung, gesägt und entgratet",Sprachindex!$A:$Z,Haftungsausschluß!$O$6,FALSE) &amp; " (" &amp; ROUNDUP(C533/1000*7.78,2) &amp; " " &amp; VLOOKUP("kg/Stk",Sprachindex!$A:$Z,Haftungsausschluß!$O$6,FALSE) &amp; ")" &amp; IF('Kalkulation 1'!$AH$33," " &amp; 'Kalkulation 1'!$R$9,"")</f>
        <v>Dammbalken 80/200 exkl. Dichtung, gesägt und entgratet (0 kg/Stk)</v>
      </c>
      <c r="H533" s="989"/>
      <c r="I533" s="989"/>
      <c r="J533" s="989"/>
      <c r="K533" s="989"/>
      <c r="L533" s="989"/>
      <c r="M533" s="990"/>
      <c r="N533" s="313"/>
      <c r="O533" s="426">
        <f t="shared" si="20"/>
        <v>0</v>
      </c>
      <c r="P533" s="286"/>
    </row>
    <row r="534" spans="2:16" ht="32.1" hidden="1" customHeight="1">
      <c r="B534" s="556"/>
      <c r="C534" s="312">
        <v>0</v>
      </c>
      <c r="D534" s="317">
        <f t="shared" si="19"/>
        <v>0</v>
      </c>
      <c r="E534" s="318" t="str">
        <f>VLOOKUP("[m]",Sprachindex!$A:$Z,Haftungsausschluß!$O$6,FALSE)</f>
        <v>[m]</v>
      </c>
      <c r="F534" s="318" t="str">
        <f>IF($L$14=1,Preisliste!$E$16,Preisliste!$F$16)</f>
        <v>H801001</v>
      </c>
      <c r="G534" s="988" t="str">
        <f>VLOOKUP("Dammbalken 80/200 exkl. Dichtung, gesägt und entgratet",Sprachindex!$A:$Z,Haftungsausschluß!$O$6,FALSE) &amp; " (" &amp; ROUNDUP(C534/1000*7.78,2) &amp; " " &amp; VLOOKUP("kg/Stk",Sprachindex!$A:$Z,Haftungsausschluß!$O$6,FALSE) &amp; ")" &amp; IF('Kalkulation 1'!$AH$33," " &amp; 'Kalkulation 1'!$R$9,"")</f>
        <v>Dammbalken 80/200 exkl. Dichtung, gesägt und entgratet (0 kg/Stk)</v>
      </c>
      <c r="H534" s="989"/>
      <c r="I534" s="989"/>
      <c r="J534" s="989"/>
      <c r="K534" s="989"/>
      <c r="L534" s="989"/>
      <c r="M534" s="990"/>
      <c r="N534" s="313"/>
      <c r="O534" s="426">
        <f t="shared" si="20"/>
        <v>0</v>
      </c>
      <c r="P534" s="286"/>
    </row>
    <row r="535" spans="2:16" ht="32.1" hidden="1" customHeight="1">
      <c r="B535" s="556"/>
      <c r="C535" s="312">
        <v>0</v>
      </c>
      <c r="D535" s="317">
        <f t="shared" si="19"/>
        <v>0</v>
      </c>
      <c r="E535" s="318" t="str">
        <f>VLOOKUP("[m]",Sprachindex!$A:$Z,Haftungsausschluß!$O$6,FALSE)</f>
        <v>[m]</v>
      </c>
      <c r="F535" s="318" t="str">
        <f>IF($L$14=1,Preisliste!$E$16,Preisliste!$F$16)</f>
        <v>H801001</v>
      </c>
      <c r="G535" s="988" t="str">
        <f>VLOOKUP("Dammbalken 80/200 exkl. Dichtung, gesägt und entgratet",Sprachindex!$A:$Z,Haftungsausschluß!$O$6,FALSE) &amp; " (" &amp; ROUNDUP(C535/1000*7.78,2) &amp; " " &amp; VLOOKUP("kg/Stk",Sprachindex!$A:$Z,Haftungsausschluß!$O$6,FALSE) &amp; ")" &amp; IF('Kalkulation 1'!$AH$33," " &amp; 'Kalkulation 1'!$R$9,"")</f>
        <v>Dammbalken 80/200 exkl. Dichtung, gesägt und entgratet (0 kg/Stk)</v>
      </c>
      <c r="H535" s="989"/>
      <c r="I535" s="989"/>
      <c r="J535" s="989"/>
      <c r="K535" s="989"/>
      <c r="L535" s="989"/>
      <c r="M535" s="990"/>
      <c r="N535" s="313"/>
      <c r="O535" s="426">
        <f t="shared" si="20"/>
        <v>0</v>
      </c>
      <c r="P535" s="286"/>
    </row>
    <row r="536" spans="2:16" ht="32.1" hidden="1" customHeight="1">
      <c r="B536" s="556"/>
      <c r="C536" s="312">
        <v>0</v>
      </c>
      <c r="D536" s="317">
        <f t="shared" si="19"/>
        <v>0</v>
      </c>
      <c r="E536" s="318" t="str">
        <f>VLOOKUP("[m]",Sprachindex!$A:$Z,Haftungsausschluß!$O$6,FALSE)</f>
        <v>[m]</v>
      </c>
      <c r="F536" s="318" t="str">
        <f>IF($L$14=1,Preisliste!$E$16,Preisliste!$F$16)</f>
        <v>H801001</v>
      </c>
      <c r="G536" s="988" t="str">
        <f>VLOOKUP("Dammbalken 80/200 exkl. Dichtung, gesägt und entgratet",Sprachindex!$A:$Z,Haftungsausschluß!$O$6,FALSE) &amp; " (" &amp; ROUNDUP(C536/1000*7.78,2) &amp; " " &amp; VLOOKUP("kg/Stk",Sprachindex!$A:$Z,Haftungsausschluß!$O$6,FALSE) &amp; ")" &amp; IF('Kalkulation 1'!$AH$33," " &amp; 'Kalkulation 1'!$R$9,"")</f>
        <v>Dammbalken 80/200 exkl. Dichtung, gesägt und entgratet (0 kg/Stk)</v>
      </c>
      <c r="H536" s="989"/>
      <c r="I536" s="989"/>
      <c r="J536" s="989"/>
      <c r="K536" s="989"/>
      <c r="L536" s="989"/>
      <c r="M536" s="990"/>
      <c r="N536" s="313"/>
      <c r="O536" s="426">
        <f t="shared" si="20"/>
        <v>0</v>
      </c>
      <c r="P536" s="286"/>
    </row>
    <row r="537" spans="2:16" ht="32.1" hidden="1" customHeight="1">
      <c r="B537" s="556"/>
      <c r="C537" s="312">
        <v>0</v>
      </c>
      <c r="D537" s="317">
        <f t="shared" si="19"/>
        <v>0</v>
      </c>
      <c r="E537" s="318" t="str">
        <f>VLOOKUP("[m]",Sprachindex!$A:$Z,Haftungsausschluß!$O$6,FALSE)</f>
        <v>[m]</v>
      </c>
      <c r="F537" s="318" t="str">
        <f>IF($L$14=1,Preisliste!$E$16,Preisliste!$F$16)</f>
        <v>H801001</v>
      </c>
      <c r="G537" s="988" t="str">
        <f>VLOOKUP("Dammbalken 80/200 exkl. Dichtung, gesägt und entgratet",Sprachindex!$A:$Z,Haftungsausschluß!$O$6,FALSE) &amp; " (" &amp; ROUNDUP(C537/1000*7.78,2) &amp; " " &amp; VLOOKUP("kg/Stk",Sprachindex!$A:$Z,Haftungsausschluß!$O$6,FALSE) &amp; ")" &amp; IF('Kalkulation 1'!$AH$33," " &amp; 'Kalkulation 1'!$R$9,"")</f>
        <v>Dammbalken 80/200 exkl. Dichtung, gesägt und entgratet (0 kg/Stk)</v>
      </c>
      <c r="H537" s="989"/>
      <c r="I537" s="989"/>
      <c r="J537" s="989"/>
      <c r="K537" s="989"/>
      <c r="L537" s="989"/>
      <c r="M537" s="990"/>
      <c r="N537" s="313"/>
      <c r="O537" s="426">
        <f t="shared" si="20"/>
        <v>0</v>
      </c>
      <c r="P537" s="286"/>
    </row>
    <row r="538" spans="2:16" ht="32.1" hidden="1" customHeight="1">
      <c r="B538" s="556"/>
      <c r="C538" s="312">
        <v>0</v>
      </c>
      <c r="D538" s="317">
        <f t="shared" si="19"/>
        <v>0</v>
      </c>
      <c r="E538" s="318" t="str">
        <f>VLOOKUP("[m]",Sprachindex!$A:$Z,Haftungsausschluß!$O$6,FALSE)</f>
        <v>[m]</v>
      </c>
      <c r="F538" s="318" t="str">
        <f>IF($L$14=1,Preisliste!$E$16,Preisliste!$F$16)</f>
        <v>H801001</v>
      </c>
      <c r="G538" s="988" t="str">
        <f>VLOOKUP("Dammbalken 80/200 exkl. Dichtung, gesägt und entgratet",Sprachindex!$A:$Z,Haftungsausschluß!$O$6,FALSE) &amp; " (" &amp; ROUNDUP(C538/1000*7.78,2) &amp; " " &amp; VLOOKUP("kg/Stk",Sprachindex!$A:$Z,Haftungsausschluß!$O$6,FALSE) &amp; ")" &amp; IF('Kalkulation 1'!$AH$33," " &amp; 'Kalkulation 1'!$R$9,"")</f>
        <v>Dammbalken 80/200 exkl. Dichtung, gesägt und entgratet (0 kg/Stk)</v>
      </c>
      <c r="H538" s="989"/>
      <c r="I538" s="989"/>
      <c r="J538" s="989"/>
      <c r="K538" s="989"/>
      <c r="L538" s="989"/>
      <c r="M538" s="990"/>
      <c r="N538" s="313"/>
      <c r="O538" s="426">
        <f t="shared" si="20"/>
        <v>0</v>
      </c>
      <c r="P538" s="286"/>
    </row>
    <row r="539" spans="2:16" ht="32.1" hidden="1" customHeight="1">
      <c r="B539" s="556"/>
      <c r="C539" s="312">
        <v>0</v>
      </c>
      <c r="D539" s="317">
        <f t="shared" si="19"/>
        <v>0</v>
      </c>
      <c r="E539" s="318" t="str">
        <f>VLOOKUP("[m]",Sprachindex!$A:$Z,Haftungsausschluß!$O$6,FALSE)</f>
        <v>[m]</v>
      </c>
      <c r="F539" s="318" t="str">
        <f>IF($L$14=1,Preisliste!$E$16,Preisliste!$F$16)</f>
        <v>H801001</v>
      </c>
      <c r="G539" s="988" t="str">
        <f>VLOOKUP("Dammbalken 80/200 exkl. Dichtung, gesägt und entgratet",Sprachindex!$A:$Z,Haftungsausschluß!$O$6,FALSE) &amp; " (" &amp; ROUNDUP(C539/1000*7.78,2) &amp; " " &amp; VLOOKUP("kg/Stk",Sprachindex!$A:$Z,Haftungsausschluß!$O$6,FALSE) &amp; ")" &amp; IF('Kalkulation 1'!$AH$33," " &amp; 'Kalkulation 1'!$R$9,"")</f>
        <v>Dammbalken 80/200 exkl. Dichtung, gesägt und entgratet (0 kg/Stk)</v>
      </c>
      <c r="H539" s="989"/>
      <c r="I539" s="989"/>
      <c r="J539" s="989"/>
      <c r="K539" s="989"/>
      <c r="L539" s="989"/>
      <c r="M539" s="990"/>
      <c r="N539" s="313"/>
      <c r="O539" s="426">
        <f t="shared" si="20"/>
        <v>0</v>
      </c>
      <c r="P539" s="286"/>
    </row>
    <row r="540" spans="2:16" ht="32.1" hidden="1" customHeight="1">
      <c r="B540" s="556"/>
      <c r="C540" s="312">
        <v>0</v>
      </c>
      <c r="D540" s="317">
        <f t="shared" si="19"/>
        <v>0</v>
      </c>
      <c r="E540" s="318" t="str">
        <f>VLOOKUP("[m]",Sprachindex!$A:$Z,Haftungsausschluß!$O$6,FALSE)</f>
        <v>[m]</v>
      </c>
      <c r="F540" s="318" t="str">
        <f>IF($L$14=1,Preisliste!$E$16,Preisliste!$F$16)</f>
        <v>H801001</v>
      </c>
      <c r="G540" s="988" t="str">
        <f>VLOOKUP("Dammbalken 80/200 exkl. Dichtung, gesägt und entgratet",Sprachindex!$A:$Z,Haftungsausschluß!$O$6,FALSE) &amp; " (" &amp; ROUNDUP(C540/1000*7.78,2) &amp; " " &amp; VLOOKUP("kg/Stk",Sprachindex!$A:$Z,Haftungsausschluß!$O$6,FALSE) &amp; ")" &amp; IF('Kalkulation 1'!$AH$33," " &amp; 'Kalkulation 1'!$R$9,"")</f>
        <v>Dammbalken 80/200 exkl. Dichtung, gesägt und entgratet (0 kg/Stk)</v>
      </c>
      <c r="H540" s="989"/>
      <c r="I540" s="989"/>
      <c r="J540" s="989"/>
      <c r="K540" s="989"/>
      <c r="L540" s="989"/>
      <c r="M540" s="990"/>
      <c r="N540" s="313"/>
      <c r="O540" s="426">
        <f t="shared" si="20"/>
        <v>0</v>
      </c>
      <c r="P540" s="286"/>
    </row>
    <row r="541" spans="2:16" ht="32.1" hidden="1" customHeight="1">
      <c r="B541" s="556"/>
      <c r="C541" s="312">
        <v>0</v>
      </c>
      <c r="D541" s="317">
        <f t="shared" si="19"/>
        <v>0</v>
      </c>
      <c r="E541" s="318" t="str">
        <f>VLOOKUP("[m]",Sprachindex!$A:$Z,Haftungsausschluß!$O$6,FALSE)</f>
        <v>[m]</v>
      </c>
      <c r="F541" s="318" t="str">
        <f>IF($L$14=1,Preisliste!$E$16,Preisliste!$F$16)</f>
        <v>H801001</v>
      </c>
      <c r="G541" s="988" t="str">
        <f>VLOOKUP("Dammbalken 80/200 exkl. Dichtung, gesägt und entgratet",Sprachindex!$A:$Z,Haftungsausschluß!$O$6,FALSE) &amp; " (" &amp; ROUNDUP(C541/1000*7.78,2) &amp; " " &amp; VLOOKUP("kg/Stk",Sprachindex!$A:$Z,Haftungsausschluß!$O$6,FALSE) &amp; ")" &amp; IF('Kalkulation 1'!$AH$33," " &amp; 'Kalkulation 1'!$R$9,"")</f>
        <v>Dammbalken 80/200 exkl. Dichtung, gesägt und entgratet (0 kg/Stk)</v>
      </c>
      <c r="H541" s="989"/>
      <c r="I541" s="989"/>
      <c r="J541" s="989"/>
      <c r="K541" s="989"/>
      <c r="L541" s="989"/>
      <c r="M541" s="990"/>
      <c r="N541" s="313"/>
      <c r="O541" s="426">
        <f t="shared" si="20"/>
        <v>0</v>
      </c>
      <c r="P541" s="286"/>
    </row>
    <row r="542" spans="2:16" ht="32.1" hidden="1" customHeight="1">
      <c r="B542" s="556"/>
      <c r="C542" s="312">
        <v>0</v>
      </c>
      <c r="D542" s="317">
        <f t="shared" si="19"/>
        <v>0</v>
      </c>
      <c r="E542" s="318" t="str">
        <f>VLOOKUP("[m]",Sprachindex!$A:$Z,Haftungsausschluß!$O$6,FALSE)</f>
        <v>[m]</v>
      </c>
      <c r="F542" s="318" t="str">
        <f>IF($L$14=1,Preisliste!$E$16,Preisliste!$F$16)</f>
        <v>H801001</v>
      </c>
      <c r="G542" s="988" t="str">
        <f>VLOOKUP("Dammbalken 80/200 exkl. Dichtung, gesägt und entgratet",Sprachindex!$A:$Z,Haftungsausschluß!$O$6,FALSE) &amp; " (" &amp; ROUNDUP(C542/1000*7.78,2) &amp; " " &amp; VLOOKUP("kg/Stk",Sprachindex!$A:$Z,Haftungsausschluß!$O$6,FALSE) &amp; ")" &amp; IF('Kalkulation 1'!$AH$33," " &amp; 'Kalkulation 1'!$R$9,"")</f>
        <v>Dammbalken 80/200 exkl. Dichtung, gesägt und entgratet (0 kg/Stk)</v>
      </c>
      <c r="H542" s="989"/>
      <c r="I542" s="989"/>
      <c r="J542" s="989"/>
      <c r="K542" s="989"/>
      <c r="L542" s="989"/>
      <c r="M542" s="990"/>
      <c r="N542" s="313"/>
      <c r="O542" s="426">
        <f t="shared" si="20"/>
        <v>0</v>
      </c>
      <c r="P542" s="286"/>
    </row>
    <row r="543" spans="2:16" ht="32.1" hidden="1" customHeight="1">
      <c r="B543" s="556"/>
      <c r="C543" s="312">
        <v>0</v>
      </c>
      <c r="D543" s="317">
        <f t="shared" si="19"/>
        <v>0</v>
      </c>
      <c r="E543" s="318" t="str">
        <f>VLOOKUP("[m]",Sprachindex!$A:$Z,Haftungsausschluß!$O$6,FALSE)</f>
        <v>[m]</v>
      </c>
      <c r="F543" s="318" t="str">
        <f>IF($L$14=1,Preisliste!$E$16,Preisliste!$F$16)</f>
        <v>H801001</v>
      </c>
      <c r="G543" s="988" t="str">
        <f>VLOOKUP("Dammbalken 80/200 exkl. Dichtung, gesägt und entgratet",Sprachindex!$A:$Z,Haftungsausschluß!$O$6,FALSE) &amp; " (" &amp; ROUNDUP(C543/1000*7.78,2) &amp; " " &amp; VLOOKUP("kg/Stk",Sprachindex!$A:$Z,Haftungsausschluß!$O$6,FALSE) &amp; ")" &amp; IF('Kalkulation 1'!$AH$33," " &amp; 'Kalkulation 1'!$R$9,"")</f>
        <v>Dammbalken 80/200 exkl. Dichtung, gesägt und entgratet (0 kg/Stk)</v>
      </c>
      <c r="H543" s="989"/>
      <c r="I543" s="989"/>
      <c r="J543" s="989"/>
      <c r="K543" s="989"/>
      <c r="L543" s="989"/>
      <c r="M543" s="990"/>
      <c r="N543" s="313"/>
      <c r="O543" s="426">
        <f t="shared" si="20"/>
        <v>0</v>
      </c>
      <c r="P543" s="286"/>
    </row>
    <row r="544" spans="2:16" ht="32.1" hidden="1" customHeight="1">
      <c r="B544" s="556"/>
      <c r="C544" s="312">
        <v>0</v>
      </c>
      <c r="D544" s="317">
        <f t="shared" si="19"/>
        <v>0</v>
      </c>
      <c r="E544" s="318" t="str">
        <f>VLOOKUP("[m]",Sprachindex!$A:$Z,Haftungsausschluß!$O$6,FALSE)</f>
        <v>[m]</v>
      </c>
      <c r="F544" s="318" t="str">
        <f>IF($L$14=1,Preisliste!$E$16,Preisliste!$F$16)</f>
        <v>H801001</v>
      </c>
      <c r="G544" s="988" t="str">
        <f>VLOOKUP("Dammbalken 80/200 exkl. Dichtung, gesägt und entgratet",Sprachindex!$A:$Z,Haftungsausschluß!$O$6,FALSE) &amp; " (" &amp; ROUNDUP(C544/1000*7.78,2) &amp; " " &amp; VLOOKUP("kg/Stk",Sprachindex!$A:$Z,Haftungsausschluß!$O$6,FALSE) &amp; ")" &amp; IF('Kalkulation 1'!$AH$33," " &amp; 'Kalkulation 1'!$R$9,"")</f>
        <v>Dammbalken 80/200 exkl. Dichtung, gesägt und entgratet (0 kg/Stk)</v>
      </c>
      <c r="H544" s="989"/>
      <c r="I544" s="989"/>
      <c r="J544" s="989"/>
      <c r="K544" s="989"/>
      <c r="L544" s="989"/>
      <c r="M544" s="990"/>
      <c r="N544" s="313"/>
      <c r="O544" s="426">
        <f t="shared" si="20"/>
        <v>0</v>
      </c>
      <c r="P544" s="286"/>
    </row>
    <row r="545" spans="2:16" ht="32.1" hidden="1" customHeight="1">
      <c r="B545" s="556"/>
      <c r="C545" s="312">
        <v>0</v>
      </c>
      <c r="D545" s="317">
        <f t="shared" si="19"/>
        <v>0</v>
      </c>
      <c r="E545" s="318" t="str">
        <f>VLOOKUP("[m]",Sprachindex!$A:$Z,Haftungsausschluß!$O$6,FALSE)</f>
        <v>[m]</v>
      </c>
      <c r="F545" s="318" t="str">
        <f>IF($L$14=1,Preisliste!$E$16,Preisliste!$F$16)</f>
        <v>H801001</v>
      </c>
      <c r="G545" s="988" t="str">
        <f>VLOOKUP("Dammbalken 80/200 exkl. Dichtung, gesägt und entgratet",Sprachindex!$A:$Z,Haftungsausschluß!$O$6,FALSE) &amp; " (" &amp; ROUNDUP(C545/1000*7.78,2) &amp; " " &amp; VLOOKUP("kg/Stk",Sprachindex!$A:$Z,Haftungsausschluß!$O$6,FALSE) &amp; ")" &amp; IF('Kalkulation 1'!$AH$33," " &amp; 'Kalkulation 1'!$R$9,"")</f>
        <v>Dammbalken 80/200 exkl. Dichtung, gesägt und entgratet (0 kg/Stk)</v>
      </c>
      <c r="H545" s="989"/>
      <c r="I545" s="989"/>
      <c r="J545" s="989"/>
      <c r="K545" s="989"/>
      <c r="L545" s="989"/>
      <c r="M545" s="990"/>
      <c r="N545" s="313"/>
      <c r="O545" s="426">
        <f t="shared" si="20"/>
        <v>0</v>
      </c>
      <c r="P545" s="286"/>
    </row>
    <row r="546" spans="2:16" ht="32.1" hidden="1" customHeight="1">
      <c r="B546" s="556"/>
      <c r="C546" s="312">
        <v>0</v>
      </c>
      <c r="D546" s="317">
        <f t="shared" si="19"/>
        <v>0</v>
      </c>
      <c r="E546" s="318" t="str">
        <f>VLOOKUP("[m]",Sprachindex!$A:$Z,Haftungsausschluß!$O$6,FALSE)</f>
        <v>[m]</v>
      </c>
      <c r="F546" s="318" t="str">
        <f>IF($L$14=1,Preisliste!$E$16,Preisliste!$F$16)</f>
        <v>H801001</v>
      </c>
      <c r="G546" s="988" t="str">
        <f>VLOOKUP("Dammbalken 80/200 exkl. Dichtung, gesägt und entgratet",Sprachindex!$A:$Z,Haftungsausschluß!$O$6,FALSE) &amp; " (" &amp; ROUNDUP(C546/1000*7.78,2) &amp; " " &amp; VLOOKUP("kg/Stk",Sprachindex!$A:$Z,Haftungsausschluß!$O$6,FALSE) &amp; ")" &amp; IF('Kalkulation 1'!$AH$33," " &amp; 'Kalkulation 1'!$R$9,"")</f>
        <v>Dammbalken 80/200 exkl. Dichtung, gesägt und entgratet (0 kg/Stk)</v>
      </c>
      <c r="H546" s="989"/>
      <c r="I546" s="989"/>
      <c r="J546" s="989"/>
      <c r="K546" s="989"/>
      <c r="L546" s="989"/>
      <c r="M546" s="990"/>
      <c r="N546" s="313"/>
      <c r="O546" s="426">
        <f t="shared" si="20"/>
        <v>0</v>
      </c>
      <c r="P546" s="286"/>
    </row>
    <row r="547" spans="2:16" ht="32.1" hidden="1" customHeight="1">
      <c r="B547" s="556"/>
      <c r="C547" s="312">
        <v>0</v>
      </c>
      <c r="D547" s="317">
        <f t="shared" si="19"/>
        <v>0</v>
      </c>
      <c r="E547" s="318" t="str">
        <f>VLOOKUP("[m]",Sprachindex!$A:$Z,Haftungsausschluß!$O$6,FALSE)</f>
        <v>[m]</v>
      </c>
      <c r="F547" s="318" t="str">
        <f>IF($L$14=1,Preisliste!$E$16,Preisliste!$F$16)</f>
        <v>H801001</v>
      </c>
      <c r="G547" s="988" t="str">
        <f>VLOOKUP("Dammbalken 80/200 exkl. Dichtung, gesägt und entgratet",Sprachindex!$A:$Z,Haftungsausschluß!$O$6,FALSE) &amp; " (" &amp; ROUNDUP(C547/1000*7.78,2) &amp; " " &amp; VLOOKUP("kg/Stk",Sprachindex!$A:$Z,Haftungsausschluß!$O$6,FALSE) &amp; ")" &amp; IF('Kalkulation 1'!$AH$33," " &amp; 'Kalkulation 1'!$R$9,"")</f>
        <v>Dammbalken 80/200 exkl. Dichtung, gesägt und entgratet (0 kg/Stk)</v>
      </c>
      <c r="H547" s="989"/>
      <c r="I547" s="989"/>
      <c r="J547" s="989"/>
      <c r="K547" s="989"/>
      <c r="L547" s="989"/>
      <c r="M547" s="990"/>
      <c r="N547" s="313"/>
      <c r="O547" s="426">
        <f t="shared" si="20"/>
        <v>0</v>
      </c>
      <c r="P547" s="286"/>
    </row>
    <row r="548" spans="2:16" ht="32.1" hidden="1" customHeight="1">
      <c r="B548" s="556"/>
      <c r="C548" s="312">
        <v>0</v>
      </c>
      <c r="D548" s="317">
        <f t="shared" si="19"/>
        <v>0</v>
      </c>
      <c r="E548" s="318" t="str">
        <f>VLOOKUP("[m]",Sprachindex!$A:$Z,Haftungsausschluß!$O$6,FALSE)</f>
        <v>[m]</v>
      </c>
      <c r="F548" s="318" t="str">
        <f>IF($L$14=1,Preisliste!$E$16,Preisliste!$F$16)</f>
        <v>H801001</v>
      </c>
      <c r="G548" s="988" t="str">
        <f>VLOOKUP("Dammbalken 80/200 exkl. Dichtung, gesägt und entgratet",Sprachindex!$A:$Z,Haftungsausschluß!$O$6,FALSE) &amp; " (" &amp; ROUNDUP(C548/1000*7.78,2) &amp; " " &amp; VLOOKUP("kg/Stk",Sprachindex!$A:$Z,Haftungsausschluß!$O$6,FALSE) &amp; ")" &amp; IF('Kalkulation 1'!$AH$33," " &amp; 'Kalkulation 1'!$R$9,"")</f>
        <v>Dammbalken 80/200 exkl. Dichtung, gesägt und entgratet (0 kg/Stk)</v>
      </c>
      <c r="H548" s="989"/>
      <c r="I548" s="989"/>
      <c r="J548" s="989"/>
      <c r="K548" s="989"/>
      <c r="L548" s="989"/>
      <c r="M548" s="990"/>
      <c r="N548" s="313"/>
      <c r="O548" s="426">
        <f t="shared" si="20"/>
        <v>0</v>
      </c>
      <c r="P548" s="286"/>
    </row>
    <row r="549" spans="2:16" ht="32.1" hidden="1" customHeight="1">
      <c r="B549" s="556"/>
      <c r="C549" s="312">
        <v>0</v>
      </c>
      <c r="D549" s="317">
        <f t="shared" si="19"/>
        <v>0</v>
      </c>
      <c r="E549" s="318" t="str">
        <f>VLOOKUP("[m]",Sprachindex!$A:$Z,Haftungsausschluß!$O$6,FALSE)</f>
        <v>[m]</v>
      </c>
      <c r="F549" s="318" t="str">
        <f>IF($L$14=1,Preisliste!$E$16,Preisliste!$F$16)</f>
        <v>H801001</v>
      </c>
      <c r="G549" s="988" t="str">
        <f>VLOOKUP("Dammbalken 80/200 exkl. Dichtung, gesägt und entgratet",Sprachindex!$A:$Z,Haftungsausschluß!$O$6,FALSE) &amp; " (" &amp; ROUNDUP(C549/1000*7.78,2) &amp; " " &amp; VLOOKUP("kg/Stk",Sprachindex!$A:$Z,Haftungsausschluß!$O$6,FALSE) &amp; ")" &amp; IF('Kalkulation 1'!$AH$33," " &amp; 'Kalkulation 1'!$R$9,"")</f>
        <v>Dammbalken 80/200 exkl. Dichtung, gesägt und entgratet (0 kg/Stk)</v>
      </c>
      <c r="H549" s="989"/>
      <c r="I549" s="989"/>
      <c r="J549" s="989"/>
      <c r="K549" s="989"/>
      <c r="L549" s="989"/>
      <c r="M549" s="990"/>
      <c r="N549" s="313"/>
      <c r="O549" s="426">
        <f t="shared" si="20"/>
        <v>0</v>
      </c>
      <c r="P549" s="286"/>
    </row>
    <row r="550" spans="2:16" ht="32.1" hidden="1" customHeight="1">
      <c r="B550" s="556"/>
      <c r="C550" s="312">
        <v>0</v>
      </c>
      <c r="D550" s="317">
        <f t="shared" si="19"/>
        <v>0</v>
      </c>
      <c r="E550" s="318" t="str">
        <f>VLOOKUP("[m]",Sprachindex!$A:$Z,Haftungsausschluß!$O$6,FALSE)</f>
        <v>[m]</v>
      </c>
      <c r="F550" s="318" t="str">
        <f>IF($L$14=1,Preisliste!$E$16,Preisliste!$F$16)</f>
        <v>H801001</v>
      </c>
      <c r="G550" s="988" t="str">
        <f>VLOOKUP("Dammbalken 80/200 exkl. Dichtung, gesägt und entgratet",Sprachindex!$A:$Z,Haftungsausschluß!$O$6,FALSE) &amp; " (" &amp; ROUNDUP(C550/1000*7.78,2) &amp; " " &amp; VLOOKUP("kg/Stk",Sprachindex!$A:$Z,Haftungsausschluß!$O$6,FALSE) &amp; ")" &amp; IF('Kalkulation 1'!$AH$33," " &amp; 'Kalkulation 1'!$R$9,"")</f>
        <v>Dammbalken 80/200 exkl. Dichtung, gesägt und entgratet (0 kg/Stk)</v>
      </c>
      <c r="H550" s="989"/>
      <c r="I550" s="989"/>
      <c r="J550" s="989"/>
      <c r="K550" s="989"/>
      <c r="L550" s="989"/>
      <c r="M550" s="990"/>
      <c r="N550" s="313"/>
      <c r="O550" s="426">
        <f t="shared" si="20"/>
        <v>0</v>
      </c>
      <c r="P550" s="286"/>
    </row>
    <row r="551" spans="2:16" ht="32.1" hidden="1" customHeight="1">
      <c r="B551" s="556"/>
      <c r="C551" s="312">
        <v>0</v>
      </c>
      <c r="D551" s="317">
        <f t="shared" si="19"/>
        <v>0</v>
      </c>
      <c r="E551" s="318" t="str">
        <f>VLOOKUP("[m]",Sprachindex!$A:$Z,Haftungsausschluß!$O$6,FALSE)</f>
        <v>[m]</v>
      </c>
      <c r="F551" s="318" t="str">
        <f>IF($L$14=1,Preisliste!$E$16,Preisliste!$F$16)</f>
        <v>H801001</v>
      </c>
      <c r="G551" s="988" t="str">
        <f>VLOOKUP("Dammbalken 80/200 exkl. Dichtung, gesägt und entgratet",Sprachindex!$A:$Z,Haftungsausschluß!$O$6,FALSE) &amp; " (" &amp; ROUNDUP(C551/1000*7.78,2) &amp; " " &amp; VLOOKUP("kg/Stk",Sprachindex!$A:$Z,Haftungsausschluß!$O$6,FALSE) &amp; ")" &amp; IF('Kalkulation 1'!$AH$33," " &amp; 'Kalkulation 1'!$R$9,"")</f>
        <v>Dammbalken 80/200 exkl. Dichtung, gesägt und entgratet (0 kg/Stk)</v>
      </c>
      <c r="H551" s="989"/>
      <c r="I551" s="989"/>
      <c r="J551" s="989"/>
      <c r="K551" s="989"/>
      <c r="L551" s="989"/>
      <c r="M551" s="990"/>
      <c r="N551" s="313"/>
      <c r="O551" s="426">
        <f t="shared" si="20"/>
        <v>0</v>
      </c>
      <c r="P551" s="286"/>
    </row>
    <row r="552" spans="2:16" ht="32.1" hidden="1" customHeight="1">
      <c r="B552" s="556"/>
      <c r="C552" s="312">
        <v>0</v>
      </c>
      <c r="D552" s="317">
        <f t="shared" si="19"/>
        <v>0</v>
      </c>
      <c r="E552" s="318" t="str">
        <f>VLOOKUP("[m]",Sprachindex!$A:$Z,Haftungsausschluß!$O$6,FALSE)</f>
        <v>[m]</v>
      </c>
      <c r="F552" s="318" t="str">
        <f>IF($L$14=1,Preisliste!$E$16,Preisliste!$F$16)</f>
        <v>H801001</v>
      </c>
      <c r="G552" s="988" t="str">
        <f>VLOOKUP("Dammbalken 80/200 exkl. Dichtung, gesägt und entgratet",Sprachindex!$A:$Z,Haftungsausschluß!$O$6,FALSE) &amp; " (" &amp; ROUNDUP(C552/1000*7.78,2) &amp; " " &amp; VLOOKUP("kg/Stk",Sprachindex!$A:$Z,Haftungsausschluß!$O$6,FALSE) &amp; ")" &amp; IF('Kalkulation 1'!$AH$33," " &amp; 'Kalkulation 1'!$R$9,"")</f>
        <v>Dammbalken 80/200 exkl. Dichtung, gesägt und entgratet (0 kg/Stk)</v>
      </c>
      <c r="H552" s="989"/>
      <c r="I552" s="989"/>
      <c r="J552" s="989"/>
      <c r="K552" s="989"/>
      <c r="L552" s="989"/>
      <c r="M552" s="990"/>
      <c r="N552" s="313"/>
      <c r="O552" s="426">
        <f t="shared" si="20"/>
        <v>0</v>
      </c>
      <c r="P552" s="286"/>
    </row>
    <row r="553" spans="2:16" ht="32.1" hidden="1" customHeight="1">
      <c r="B553" s="556"/>
      <c r="C553" s="312">
        <v>0</v>
      </c>
      <c r="D553" s="317">
        <f t="shared" si="19"/>
        <v>0</v>
      </c>
      <c r="E553" s="318" t="str">
        <f>VLOOKUP("[m]",Sprachindex!$A:$Z,Haftungsausschluß!$O$6,FALSE)</f>
        <v>[m]</v>
      </c>
      <c r="F553" s="318" t="str">
        <f>IF($L$14=1,Preisliste!$E$16,Preisliste!$F$16)</f>
        <v>H801001</v>
      </c>
      <c r="G553" s="988" t="str">
        <f>VLOOKUP("Dammbalken 80/200 exkl. Dichtung, gesägt und entgratet",Sprachindex!$A:$Z,Haftungsausschluß!$O$6,FALSE) &amp; " (" &amp; ROUNDUP(C553/1000*7.78,2) &amp; " " &amp; VLOOKUP("kg/Stk",Sprachindex!$A:$Z,Haftungsausschluß!$O$6,FALSE) &amp; ")" &amp; IF('Kalkulation 1'!$AH$33," " &amp; 'Kalkulation 1'!$R$9,"")</f>
        <v>Dammbalken 80/200 exkl. Dichtung, gesägt und entgratet (0 kg/Stk)</v>
      </c>
      <c r="H553" s="989"/>
      <c r="I553" s="989"/>
      <c r="J553" s="989"/>
      <c r="K553" s="989"/>
      <c r="L553" s="989"/>
      <c r="M553" s="990"/>
      <c r="N553" s="313"/>
      <c r="O553" s="426">
        <f t="shared" si="20"/>
        <v>0</v>
      </c>
      <c r="P553" s="286"/>
    </row>
    <row r="554" spans="2:16" ht="32.1" hidden="1" customHeight="1">
      <c r="B554" s="556"/>
      <c r="C554" s="312">
        <v>0</v>
      </c>
      <c r="D554" s="317">
        <f t="shared" si="19"/>
        <v>0</v>
      </c>
      <c r="E554" s="318" t="str">
        <f>VLOOKUP("[m]",Sprachindex!$A:$Z,Haftungsausschluß!$O$6,FALSE)</f>
        <v>[m]</v>
      </c>
      <c r="F554" s="318" t="str">
        <f>IF($L$14=1,Preisliste!$E$16,Preisliste!$F$16)</f>
        <v>H801001</v>
      </c>
      <c r="G554" s="988" t="str">
        <f>VLOOKUP("Dammbalken 80/200 exkl. Dichtung, gesägt und entgratet",Sprachindex!$A:$Z,Haftungsausschluß!$O$6,FALSE) &amp; " (" &amp; ROUNDUP(C554/1000*7.78,2) &amp; " " &amp; VLOOKUP("kg/Stk",Sprachindex!$A:$Z,Haftungsausschluß!$O$6,FALSE) &amp; ")" &amp; IF('Kalkulation 1'!$AH$33," " &amp; 'Kalkulation 1'!$R$9,"")</f>
        <v>Dammbalken 80/200 exkl. Dichtung, gesägt und entgratet (0 kg/Stk)</v>
      </c>
      <c r="H554" s="989"/>
      <c r="I554" s="989"/>
      <c r="J554" s="989"/>
      <c r="K554" s="989"/>
      <c r="L554" s="989"/>
      <c r="M554" s="990"/>
      <c r="N554" s="313"/>
      <c r="O554" s="426">
        <f t="shared" si="20"/>
        <v>0</v>
      </c>
      <c r="P554" s="286"/>
    </row>
    <row r="555" spans="2:16" ht="32.1" hidden="1" customHeight="1">
      <c r="B555" s="556"/>
      <c r="C555" s="312">
        <v>0</v>
      </c>
      <c r="D555" s="317">
        <f t="shared" si="19"/>
        <v>0</v>
      </c>
      <c r="E555" s="318" t="str">
        <f>VLOOKUP("[m]",Sprachindex!$A:$Z,Haftungsausschluß!$O$6,FALSE)</f>
        <v>[m]</v>
      </c>
      <c r="F555" s="318" t="str">
        <f>IF($L$14=1,Preisliste!$E$16,Preisliste!$F$16)</f>
        <v>H801001</v>
      </c>
      <c r="G555" s="988" t="str">
        <f>VLOOKUP("Dammbalken 80/200 exkl. Dichtung, gesägt und entgratet",Sprachindex!$A:$Z,Haftungsausschluß!$O$6,FALSE) &amp; " (" &amp; ROUNDUP(C555/1000*7.78,2) &amp; " " &amp; VLOOKUP("kg/Stk",Sprachindex!$A:$Z,Haftungsausschluß!$O$6,FALSE) &amp; ")" &amp; IF('Kalkulation 1'!$AH$33," " &amp; 'Kalkulation 1'!$R$9,"")</f>
        <v>Dammbalken 80/200 exkl. Dichtung, gesägt und entgratet (0 kg/Stk)</v>
      </c>
      <c r="H555" s="989"/>
      <c r="I555" s="989"/>
      <c r="J555" s="989"/>
      <c r="K555" s="989"/>
      <c r="L555" s="989"/>
      <c r="M555" s="990"/>
      <c r="N555" s="313"/>
      <c r="O555" s="426">
        <f t="shared" si="20"/>
        <v>0</v>
      </c>
      <c r="P555" s="286"/>
    </row>
    <row r="556" spans="2:16" ht="32.1" hidden="1" customHeight="1">
      <c r="B556" s="556"/>
      <c r="C556" s="312">
        <v>0</v>
      </c>
      <c r="D556" s="317">
        <f t="shared" si="19"/>
        <v>0</v>
      </c>
      <c r="E556" s="318" t="str">
        <f>VLOOKUP("[m]",Sprachindex!$A:$Z,Haftungsausschluß!$O$6,FALSE)</f>
        <v>[m]</v>
      </c>
      <c r="F556" s="318" t="str">
        <f>IF($L$14=1,Preisliste!$E$16,Preisliste!$F$16)</f>
        <v>H801001</v>
      </c>
      <c r="G556" s="988" t="str">
        <f>VLOOKUP("Dammbalken 80/200 exkl. Dichtung, gesägt und entgratet",Sprachindex!$A:$Z,Haftungsausschluß!$O$6,FALSE) &amp; " (" &amp; ROUNDUP(C556/1000*7.78,2) &amp; " " &amp; VLOOKUP("kg/Stk",Sprachindex!$A:$Z,Haftungsausschluß!$O$6,FALSE) &amp; ")" &amp; IF('Kalkulation 1'!$AH$33," " &amp; 'Kalkulation 1'!$R$9,"")</f>
        <v>Dammbalken 80/200 exkl. Dichtung, gesägt und entgratet (0 kg/Stk)</v>
      </c>
      <c r="H556" s="989"/>
      <c r="I556" s="989"/>
      <c r="J556" s="989"/>
      <c r="K556" s="989"/>
      <c r="L556" s="989"/>
      <c r="M556" s="990"/>
      <c r="N556" s="313"/>
      <c r="O556" s="426">
        <f t="shared" si="20"/>
        <v>0</v>
      </c>
      <c r="P556" s="286"/>
    </row>
    <row r="557" spans="2:16" ht="32.1" hidden="1" customHeight="1">
      <c r="B557" s="556"/>
      <c r="C557" s="312">
        <v>0</v>
      </c>
      <c r="D557" s="317">
        <f t="shared" si="19"/>
        <v>0</v>
      </c>
      <c r="E557" s="318" t="str">
        <f>VLOOKUP("[m]",Sprachindex!$A:$Z,Haftungsausschluß!$O$6,FALSE)</f>
        <v>[m]</v>
      </c>
      <c r="F557" s="318" t="str">
        <f>IF($L$14=1,Preisliste!$E$16,Preisliste!$F$16)</f>
        <v>H801001</v>
      </c>
      <c r="G557" s="988" t="str">
        <f>VLOOKUP("Dammbalken 80/200 exkl. Dichtung, gesägt und entgratet",Sprachindex!$A:$Z,Haftungsausschluß!$O$6,FALSE) &amp; " (" &amp; ROUNDUP(C557/1000*7.78,2) &amp; " " &amp; VLOOKUP("kg/Stk",Sprachindex!$A:$Z,Haftungsausschluß!$O$6,FALSE) &amp; ")" &amp; IF('Kalkulation 1'!$AH$33," " &amp; 'Kalkulation 1'!$R$9,"")</f>
        <v>Dammbalken 80/200 exkl. Dichtung, gesägt und entgratet (0 kg/Stk)</v>
      </c>
      <c r="H557" s="989"/>
      <c r="I557" s="989"/>
      <c r="J557" s="989"/>
      <c r="K557" s="989"/>
      <c r="L557" s="989"/>
      <c r="M557" s="990"/>
      <c r="N557" s="313"/>
      <c r="O557" s="426">
        <f t="shared" si="20"/>
        <v>0</v>
      </c>
      <c r="P557" s="286"/>
    </row>
    <row r="558" spans="2:16" ht="32.1" hidden="1" customHeight="1">
      <c r="B558" s="556"/>
      <c r="C558" s="312">
        <v>0</v>
      </c>
      <c r="D558" s="317">
        <f t="shared" si="19"/>
        <v>0</v>
      </c>
      <c r="E558" s="318" t="str">
        <f>VLOOKUP("[m]",Sprachindex!$A:$Z,Haftungsausschluß!$O$6,FALSE)</f>
        <v>[m]</v>
      </c>
      <c r="F558" s="318" t="str">
        <f>IF($L$14=1,Preisliste!$E$16,Preisliste!$F$16)</f>
        <v>H801001</v>
      </c>
      <c r="G558" s="988" t="str">
        <f>VLOOKUP("Dammbalken 80/200 exkl. Dichtung, gesägt und entgratet",Sprachindex!$A:$Z,Haftungsausschluß!$O$6,FALSE) &amp; " (" &amp; ROUNDUP(C558/1000*7.78,2) &amp; " " &amp; VLOOKUP("kg/Stk",Sprachindex!$A:$Z,Haftungsausschluß!$O$6,FALSE) &amp; ")" &amp; IF('Kalkulation 1'!$AH$33," " &amp; 'Kalkulation 1'!$R$9,"")</f>
        <v>Dammbalken 80/200 exkl. Dichtung, gesägt und entgratet (0 kg/Stk)</v>
      </c>
      <c r="H558" s="989"/>
      <c r="I558" s="989"/>
      <c r="J558" s="989"/>
      <c r="K558" s="989"/>
      <c r="L558" s="989"/>
      <c r="M558" s="990"/>
      <c r="N558" s="313"/>
      <c r="O558" s="426">
        <f t="shared" si="20"/>
        <v>0</v>
      </c>
      <c r="P558" s="286"/>
    </row>
    <row r="559" spans="2:16" ht="32.1" hidden="1" customHeight="1">
      <c r="B559" s="556"/>
      <c r="C559" s="312">
        <v>0</v>
      </c>
      <c r="D559" s="317">
        <f t="shared" si="19"/>
        <v>0</v>
      </c>
      <c r="E559" s="318" t="str">
        <f>VLOOKUP("[m]",Sprachindex!$A:$Z,Haftungsausschluß!$O$6,FALSE)</f>
        <v>[m]</v>
      </c>
      <c r="F559" s="318" t="str">
        <f>IF($L$14=1,Preisliste!$E$16,Preisliste!$F$16)</f>
        <v>H801001</v>
      </c>
      <c r="G559" s="988" t="str">
        <f>VLOOKUP("Dammbalken 80/200 exkl. Dichtung, gesägt und entgratet",Sprachindex!$A:$Z,Haftungsausschluß!$O$6,FALSE) &amp; " (" &amp; ROUNDUP(C559/1000*7.78,2) &amp; " " &amp; VLOOKUP("kg/Stk",Sprachindex!$A:$Z,Haftungsausschluß!$O$6,FALSE) &amp; ")" &amp; IF('Kalkulation 1'!$AH$33," " &amp; 'Kalkulation 1'!$R$9,"")</f>
        <v>Dammbalken 80/200 exkl. Dichtung, gesägt und entgratet (0 kg/Stk)</v>
      </c>
      <c r="H559" s="989"/>
      <c r="I559" s="989"/>
      <c r="J559" s="989"/>
      <c r="K559" s="989"/>
      <c r="L559" s="989"/>
      <c r="M559" s="990"/>
      <c r="N559" s="313"/>
      <c r="O559" s="426">
        <f t="shared" si="20"/>
        <v>0</v>
      </c>
      <c r="P559" s="286"/>
    </row>
    <row r="560" spans="2:16" ht="32.1" hidden="1" customHeight="1">
      <c r="B560" s="556"/>
      <c r="C560" s="312">
        <v>0</v>
      </c>
      <c r="D560" s="317">
        <f t="shared" si="19"/>
        <v>0</v>
      </c>
      <c r="E560" s="318" t="str">
        <f>VLOOKUP("[m]",Sprachindex!$A:$Z,Haftungsausschluß!$O$6,FALSE)</f>
        <v>[m]</v>
      </c>
      <c r="F560" s="318" t="str">
        <f>IF($L$14=1,Preisliste!$E$16,Preisliste!$F$16)</f>
        <v>H801001</v>
      </c>
      <c r="G560" s="988" t="str">
        <f>VLOOKUP("Dammbalken 80/200 exkl. Dichtung, gesägt und entgratet",Sprachindex!$A:$Z,Haftungsausschluß!$O$6,FALSE) &amp; " (" &amp; ROUNDUP(C560/1000*7.78,2) &amp; " " &amp; VLOOKUP("kg/Stk",Sprachindex!$A:$Z,Haftungsausschluß!$O$6,FALSE) &amp; ")" &amp; IF('Kalkulation 1'!$AH$33," " &amp; 'Kalkulation 1'!$R$9,"")</f>
        <v>Dammbalken 80/200 exkl. Dichtung, gesägt und entgratet (0 kg/Stk)</v>
      </c>
      <c r="H560" s="989"/>
      <c r="I560" s="989"/>
      <c r="J560" s="989"/>
      <c r="K560" s="989"/>
      <c r="L560" s="989"/>
      <c r="M560" s="990"/>
      <c r="N560" s="313"/>
      <c r="O560" s="426">
        <f t="shared" si="20"/>
        <v>0</v>
      </c>
      <c r="P560" s="286"/>
    </row>
    <row r="561" spans="2:16" ht="32.1" hidden="1" customHeight="1">
      <c r="B561" s="556"/>
      <c r="C561" s="312">
        <v>0</v>
      </c>
      <c r="D561" s="317">
        <f t="shared" si="19"/>
        <v>0</v>
      </c>
      <c r="E561" s="318" t="str">
        <f>VLOOKUP("[m]",Sprachindex!$A:$Z,Haftungsausschluß!$O$6,FALSE)</f>
        <v>[m]</v>
      </c>
      <c r="F561" s="318" t="str">
        <f>IF($L$14=1,Preisliste!$E$16,Preisliste!$F$16)</f>
        <v>H801001</v>
      </c>
      <c r="G561" s="988" t="str">
        <f>VLOOKUP("Dammbalken 80/200 exkl. Dichtung, gesägt und entgratet",Sprachindex!$A:$Z,Haftungsausschluß!$O$6,FALSE) &amp; " (" &amp; ROUNDUP(C561/1000*7.78,2) &amp; " " &amp; VLOOKUP("kg/Stk",Sprachindex!$A:$Z,Haftungsausschluß!$O$6,FALSE) &amp; ")" &amp; IF('Kalkulation 1'!$AH$33," " &amp; 'Kalkulation 1'!$R$9,"")</f>
        <v>Dammbalken 80/200 exkl. Dichtung, gesägt und entgratet (0 kg/Stk)</v>
      </c>
      <c r="H561" s="989"/>
      <c r="I561" s="989"/>
      <c r="J561" s="989"/>
      <c r="K561" s="989"/>
      <c r="L561" s="989"/>
      <c r="M561" s="990"/>
      <c r="N561" s="313"/>
      <c r="O561" s="426">
        <f t="shared" si="20"/>
        <v>0</v>
      </c>
      <c r="P561" s="286"/>
    </row>
    <row r="562" spans="2:16" ht="32.1" hidden="1" customHeight="1">
      <c r="B562" s="556"/>
      <c r="C562" s="312">
        <v>0</v>
      </c>
      <c r="D562" s="317">
        <f t="shared" si="19"/>
        <v>0</v>
      </c>
      <c r="E562" s="318" t="str">
        <f>VLOOKUP("[m]",Sprachindex!$A:$Z,Haftungsausschluß!$O$6,FALSE)</f>
        <v>[m]</v>
      </c>
      <c r="F562" s="318" t="str">
        <f>IF($L$14=1,Preisliste!$E$16,Preisliste!$F$16)</f>
        <v>H801001</v>
      </c>
      <c r="G562" s="988" t="str">
        <f>VLOOKUP("Dammbalken 80/200 exkl. Dichtung, gesägt und entgratet",Sprachindex!$A:$Z,Haftungsausschluß!$O$6,FALSE) &amp; " (" &amp; ROUNDUP(C562/1000*7.78,2) &amp; " " &amp; VLOOKUP("kg/Stk",Sprachindex!$A:$Z,Haftungsausschluß!$O$6,FALSE) &amp; ")" &amp; IF('Kalkulation 1'!$AH$33," " &amp; 'Kalkulation 1'!$R$9,"")</f>
        <v>Dammbalken 80/200 exkl. Dichtung, gesägt und entgratet (0 kg/Stk)</v>
      </c>
      <c r="H562" s="989"/>
      <c r="I562" s="989"/>
      <c r="J562" s="989"/>
      <c r="K562" s="989"/>
      <c r="L562" s="989"/>
      <c r="M562" s="990"/>
      <c r="N562" s="313"/>
      <c r="O562" s="426">
        <f t="shared" si="20"/>
        <v>0</v>
      </c>
      <c r="P562" s="286"/>
    </row>
    <row r="563" spans="2:16" ht="32.1" hidden="1" customHeight="1">
      <c r="B563" s="556"/>
      <c r="C563" s="312">
        <v>0</v>
      </c>
      <c r="D563" s="317">
        <f t="shared" si="19"/>
        <v>0</v>
      </c>
      <c r="E563" s="318" t="str">
        <f>VLOOKUP("[m]",Sprachindex!$A:$Z,Haftungsausschluß!$O$6,FALSE)</f>
        <v>[m]</v>
      </c>
      <c r="F563" s="318" t="str">
        <f>IF($L$14=1,Preisliste!$E$16,Preisliste!$F$16)</f>
        <v>H801001</v>
      </c>
      <c r="G563" s="988" t="str">
        <f>VLOOKUP("Dammbalken 80/200 exkl. Dichtung, gesägt und entgratet",Sprachindex!$A:$Z,Haftungsausschluß!$O$6,FALSE) &amp; " (" &amp; ROUNDUP(C563/1000*7.78,2) &amp; " " &amp; VLOOKUP("kg/Stk",Sprachindex!$A:$Z,Haftungsausschluß!$O$6,FALSE) &amp; ")" &amp; IF('Kalkulation 1'!$AH$33," " &amp; 'Kalkulation 1'!$R$9,"")</f>
        <v>Dammbalken 80/200 exkl. Dichtung, gesägt und entgratet (0 kg/Stk)</v>
      </c>
      <c r="H563" s="989"/>
      <c r="I563" s="989"/>
      <c r="J563" s="989"/>
      <c r="K563" s="989"/>
      <c r="L563" s="989"/>
      <c r="M563" s="990"/>
      <c r="N563" s="313"/>
      <c r="O563" s="426">
        <f t="shared" si="20"/>
        <v>0</v>
      </c>
      <c r="P563" s="286"/>
    </row>
    <row r="564" spans="2:16" ht="32.1" hidden="1" customHeight="1">
      <c r="B564" s="556"/>
      <c r="C564" s="312">
        <v>0</v>
      </c>
      <c r="D564" s="317">
        <f t="shared" si="19"/>
        <v>0</v>
      </c>
      <c r="E564" s="318" t="str">
        <f>VLOOKUP("[m]",Sprachindex!$A:$Z,Haftungsausschluß!$O$6,FALSE)</f>
        <v>[m]</v>
      </c>
      <c r="F564" s="318" t="str">
        <f>IF($L$14=1,Preisliste!$E$16,Preisliste!$F$16)</f>
        <v>H801001</v>
      </c>
      <c r="G564" s="988" t="str">
        <f>VLOOKUP("Dammbalken 80/200 exkl. Dichtung, gesägt und entgratet",Sprachindex!$A:$Z,Haftungsausschluß!$O$6,FALSE) &amp; " (" &amp; ROUNDUP(C564/1000*7.78,2) &amp; " " &amp; VLOOKUP("kg/Stk",Sprachindex!$A:$Z,Haftungsausschluß!$O$6,FALSE) &amp; ")" &amp; IF('Kalkulation 1'!$AH$33," " &amp; 'Kalkulation 1'!$R$9,"")</f>
        <v>Dammbalken 80/200 exkl. Dichtung, gesägt und entgratet (0 kg/Stk)</v>
      </c>
      <c r="H564" s="989"/>
      <c r="I564" s="989"/>
      <c r="J564" s="989"/>
      <c r="K564" s="989"/>
      <c r="L564" s="989"/>
      <c r="M564" s="990"/>
      <c r="N564" s="313"/>
      <c r="O564" s="426">
        <f t="shared" si="20"/>
        <v>0</v>
      </c>
      <c r="P564" s="286"/>
    </row>
    <row r="565" spans="2:16" ht="32.1" hidden="1" customHeight="1">
      <c r="B565" s="556"/>
      <c r="C565" s="312">
        <v>0</v>
      </c>
      <c r="D565" s="317">
        <f t="shared" si="19"/>
        <v>0</v>
      </c>
      <c r="E565" s="318" t="str">
        <f>VLOOKUP("[m]",Sprachindex!$A:$Z,Haftungsausschluß!$O$6,FALSE)</f>
        <v>[m]</v>
      </c>
      <c r="F565" s="318" t="str">
        <f>IF($L$14=1,Preisliste!$E$16,Preisliste!$F$16)</f>
        <v>H801001</v>
      </c>
      <c r="G565" s="988" t="str">
        <f>VLOOKUP("Dammbalken 80/200 exkl. Dichtung, gesägt und entgratet",Sprachindex!$A:$Z,Haftungsausschluß!$O$6,FALSE) &amp; " (" &amp; ROUNDUP(C565/1000*7.78,2) &amp; " " &amp; VLOOKUP("kg/Stk",Sprachindex!$A:$Z,Haftungsausschluß!$O$6,FALSE) &amp; ")" &amp; IF('Kalkulation 1'!$AH$33," " &amp; 'Kalkulation 1'!$R$9,"")</f>
        <v>Dammbalken 80/200 exkl. Dichtung, gesägt und entgratet (0 kg/Stk)</v>
      </c>
      <c r="H565" s="989"/>
      <c r="I565" s="989"/>
      <c r="J565" s="989"/>
      <c r="K565" s="989"/>
      <c r="L565" s="989"/>
      <c r="M565" s="990"/>
      <c r="N565" s="313"/>
      <c r="O565" s="426">
        <f t="shared" si="20"/>
        <v>0</v>
      </c>
      <c r="P565" s="286"/>
    </row>
    <row r="566" spans="2:16" ht="32.1" hidden="1" customHeight="1">
      <c r="B566" s="556"/>
      <c r="C566" s="312">
        <v>0</v>
      </c>
      <c r="D566" s="317">
        <f t="shared" si="19"/>
        <v>0</v>
      </c>
      <c r="E566" s="318" t="str">
        <f>VLOOKUP("[m]",Sprachindex!$A:$Z,Haftungsausschluß!$O$6,FALSE)</f>
        <v>[m]</v>
      </c>
      <c r="F566" s="318" t="str">
        <f>IF($L$14=1,Preisliste!$E$16,Preisliste!$F$16)</f>
        <v>H801001</v>
      </c>
      <c r="G566" s="988" t="str">
        <f>VLOOKUP("Dammbalken 80/200 exkl. Dichtung, gesägt und entgratet",Sprachindex!$A:$Z,Haftungsausschluß!$O$6,FALSE) &amp; " (" &amp; ROUNDUP(C566/1000*7.78,2) &amp; " " &amp; VLOOKUP("kg/Stk",Sprachindex!$A:$Z,Haftungsausschluß!$O$6,FALSE) &amp; ")" &amp; IF('Kalkulation 1'!$AH$33," " &amp; 'Kalkulation 1'!$R$9,"")</f>
        <v>Dammbalken 80/200 exkl. Dichtung, gesägt und entgratet (0 kg/Stk)</v>
      </c>
      <c r="H566" s="989"/>
      <c r="I566" s="989"/>
      <c r="J566" s="989"/>
      <c r="K566" s="989"/>
      <c r="L566" s="989"/>
      <c r="M566" s="990"/>
      <c r="N566" s="313"/>
      <c r="O566" s="426">
        <f t="shared" si="20"/>
        <v>0</v>
      </c>
      <c r="P566" s="286"/>
    </row>
    <row r="567" spans="2:16" ht="32.1" hidden="1" customHeight="1">
      <c r="B567" s="556"/>
      <c r="C567" s="312">
        <v>0</v>
      </c>
      <c r="D567" s="317">
        <f t="shared" si="19"/>
        <v>0</v>
      </c>
      <c r="E567" s="318" t="str">
        <f>VLOOKUP("[m]",Sprachindex!$A:$Z,Haftungsausschluß!$O$6,FALSE)</f>
        <v>[m]</v>
      </c>
      <c r="F567" s="318" t="str">
        <f>IF($L$14=1,Preisliste!$E$16,Preisliste!$F$16)</f>
        <v>H801001</v>
      </c>
      <c r="G567" s="988" t="str">
        <f>VLOOKUP("Dammbalken 80/200 exkl. Dichtung, gesägt und entgratet",Sprachindex!$A:$Z,Haftungsausschluß!$O$6,FALSE) &amp; " (" &amp; ROUNDUP(C567/1000*7.78,2) &amp; " " &amp; VLOOKUP("kg/Stk",Sprachindex!$A:$Z,Haftungsausschluß!$O$6,FALSE) &amp; ")" &amp; IF('Kalkulation 1'!$AH$33," " &amp; 'Kalkulation 1'!$R$9,"")</f>
        <v>Dammbalken 80/200 exkl. Dichtung, gesägt und entgratet (0 kg/Stk)</v>
      </c>
      <c r="H567" s="989"/>
      <c r="I567" s="989"/>
      <c r="J567" s="989"/>
      <c r="K567" s="989"/>
      <c r="L567" s="989"/>
      <c r="M567" s="990"/>
      <c r="N567" s="313"/>
      <c r="O567" s="426">
        <f t="shared" si="20"/>
        <v>0</v>
      </c>
      <c r="P567" s="286"/>
    </row>
    <row r="568" spans="2:16" ht="32.1" hidden="1" customHeight="1">
      <c r="B568" s="556"/>
      <c r="C568" s="312">
        <v>0</v>
      </c>
      <c r="D568" s="317">
        <f t="shared" si="19"/>
        <v>0</v>
      </c>
      <c r="E568" s="318" t="str">
        <f>VLOOKUP("[m]",Sprachindex!$A:$Z,Haftungsausschluß!$O$6,FALSE)</f>
        <v>[m]</v>
      </c>
      <c r="F568" s="318" t="str">
        <f>IF($L$14=1,Preisliste!$E$16,Preisliste!$F$16)</f>
        <v>H801001</v>
      </c>
      <c r="G568" s="988" t="str">
        <f>VLOOKUP("Dammbalken 80/200 exkl. Dichtung, gesägt und entgratet",Sprachindex!$A:$Z,Haftungsausschluß!$O$6,FALSE) &amp; " (" &amp; ROUNDUP(C568/1000*7.78,2) &amp; " " &amp; VLOOKUP("kg/Stk",Sprachindex!$A:$Z,Haftungsausschluß!$O$6,FALSE) &amp; ")" &amp; IF('Kalkulation 1'!$AH$33," " &amp; 'Kalkulation 1'!$R$9,"")</f>
        <v>Dammbalken 80/200 exkl. Dichtung, gesägt und entgratet (0 kg/Stk)</v>
      </c>
      <c r="H568" s="989"/>
      <c r="I568" s="989"/>
      <c r="J568" s="989"/>
      <c r="K568" s="989"/>
      <c r="L568" s="989"/>
      <c r="M568" s="990"/>
      <c r="N568" s="313"/>
      <c r="O568" s="426">
        <f t="shared" si="20"/>
        <v>0</v>
      </c>
      <c r="P568" s="286"/>
    </row>
    <row r="569" spans="2:16" ht="32.1" hidden="1" customHeight="1">
      <c r="B569" s="556"/>
      <c r="C569" s="312">
        <v>0</v>
      </c>
      <c r="D569" s="317">
        <f t="shared" si="19"/>
        <v>0</v>
      </c>
      <c r="E569" s="318" t="str">
        <f>VLOOKUP("[m]",Sprachindex!$A:$Z,Haftungsausschluß!$O$6,FALSE)</f>
        <v>[m]</v>
      </c>
      <c r="F569" s="318" t="str">
        <f>IF($L$14=1,Preisliste!$E$16,Preisliste!$F$16)</f>
        <v>H801001</v>
      </c>
      <c r="G569" s="988" t="str">
        <f>VLOOKUP("Dammbalken 80/200 exkl. Dichtung, gesägt und entgratet",Sprachindex!$A:$Z,Haftungsausschluß!$O$6,FALSE) &amp; " (" &amp; ROUNDUP(C569/1000*7.78,2) &amp; " " &amp; VLOOKUP("kg/Stk",Sprachindex!$A:$Z,Haftungsausschluß!$O$6,FALSE) &amp; ")" &amp; IF('Kalkulation 1'!$AH$33," " &amp; 'Kalkulation 1'!$R$9,"")</f>
        <v>Dammbalken 80/200 exkl. Dichtung, gesägt und entgratet (0 kg/Stk)</v>
      </c>
      <c r="H569" s="989"/>
      <c r="I569" s="989"/>
      <c r="J569" s="989"/>
      <c r="K569" s="989"/>
      <c r="L569" s="989"/>
      <c r="M569" s="990"/>
      <c r="N569" s="313"/>
      <c r="O569" s="426">
        <f t="shared" si="20"/>
        <v>0</v>
      </c>
      <c r="P569" s="286"/>
    </row>
    <row r="570" spans="2:16" ht="32.1" hidden="1" customHeight="1">
      <c r="B570" s="556"/>
      <c r="C570" s="312">
        <v>0</v>
      </c>
      <c r="D570" s="317">
        <f t="shared" si="19"/>
        <v>0</v>
      </c>
      <c r="E570" s="318" t="str">
        <f>VLOOKUP("[m]",Sprachindex!$A:$Z,Haftungsausschluß!$O$6,FALSE)</f>
        <v>[m]</v>
      </c>
      <c r="F570" s="318" t="str">
        <f>IF($L$14=1,Preisliste!$E$16,Preisliste!$F$16)</f>
        <v>H801001</v>
      </c>
      <c r="G570" s="988" t="str">
        <f>VLOOKUP("Dammbalken 80/200 exkl. Dichtung, gesägt und entgratet",Sprachindex!$A:$Z,Haftungsausschluß!$O$6,FALSE) &amp; " (" &amp; ROUNDUP(C570/1000*7.78,2) &amp; " " &amp; VLOOKUP("kg/Stk",Sprachindex!$A:$Z,Haftungsausschluß!$O$6,FALSE) &amp; ")" &amp; IF('Kalkulation 1'!$AH$33," " &amp; 'Kalkulation 1'!$R$9,"")</f>
        <v>Dammbalken 80/200 exkl. Dichtung, gesägt und entgratet (0 kg/Stk)</v>
      </c>
      <c r="H570" s="989"/>
      <c r="I570" s="989"/>
      <c r="J570" s="989"/>
      <c r="K570" s="989"/>
      <c r="L570" s="989"/>
      <c r="M570" s="990"/>
      <c r="N570" s="313"/>
      <c r="O570" s="426">
        <f t="shared" si="20"/>
        <v>0</v>
      </c>
      <c r="P570" s="286"/>
    </row>
    <row r="571" spans="2:16" ht="32.1" hidden="1" customHeight="1">
      <c r="B571" s="556"/>
      <c r="C571" s="312">
        <v>0</v>
      </c>
      <c r="D571" s="317">
        <f t="shared" si="19"/>
        <v>0</v>
      </c>
      <c r="E571" s="318" t="str">
        <f>VLOOKUP("[m]",Sprachindex!$A:$Z,Haftungsausschluß!$O$6,FALSE)</f>
        <v>[m]</v>
      </c>
      <c r="F571" s="318" t="str">
        <f>IF($L$14=1,Preisliste!$E$16,Preisliste!$F$16)</f>
        <v>H801001</v>
      </c>
      <c r="G571" s="988" t="str">
        <f>VLOOKUP("Dammbalken 80/200 exkl. Dichtung, gesägt und entgratet",Sprachindex!$A:$Z,Haftungsausschluß!$O$6,FALSE) &amp; " (" &amp; ROUNDUP(C571/1000*7.78,2) &amp; " " &amp; VLOOKUP("kg/Stk",Sprachindex!$A:$Z,Haftungsausschluß!$O$6,FALSE) &amp; ")" &amp; IF('Kalkulation 1'!$AH$33," " &amp; 'Kalkulation 1'!$R$9,"")</f>
        <v>Dammbalken 80/200 exkl. Dichtung, gesägt und entgratet (0 kg/Stk)</v>
      </c>
      <c r="H571" s="989"/>
      <c r="I571" s="989"/>
      <c r="J571" s="989"/>
      <c r="K571" s="989"/>
      <c r="L571" s="989"/>
      <c r="M571" s="990"/>
      <c r="N571" s="313"/>
      <c r="O571" s="426">
        <f t="shared" si="20"/>
        <v>0</v>
      </c>
      <c r="P571" s="286"/>
    </row>
    <row r="572" spans="2:16" ht="32.1" hidden="1" customHeight="1">
      <c r="B572" s="556"/>
      <c r="C572" s="312">
        <v>0</v>
      </c>
      <c r="D572" s="317">
        <f t="shared" si="19"/>
        <v>0</v>
      </c>
      <c r="E572" s="318" t="str">
        <f>VLOOKUP("[m]",Sprachindex!$A:$Z,Haftungsausschluß!$O$6,FALSE)</f>
        <v>[m]</v>
      </c>
      <c r="F572" s="318" t="str">
        <f>IF($L$14=1,Preisliste!$E$16,Preisliste!$F$16)</f>
        <v>H801001</v>
      </c>
      <c r="G572" s="988" t="str">
        <f>VLOOKUP("Dammbalken 80/200 exkl. Dichtung, gesägt und entgratet",Sprachindex!$A:$Z,Haftungsausschluß!$O$6,FALSE) &amp; " (" &amp; ROUNDUP(C572/1000*7.78,2) &amp; " " &amp; VLOOKUP("kg/Stk",Sprachindex!$A:$Z,Haftungsausschluß!$O$6,FALSE) &amp; ")" &amp; IF('Kalkulation 1'!$AH$33," " &amp; 'Kalkulation 1'!$R$9,"")</f>
        <v>Dammbalken 80/200 exkl. Dichtung, gesägt und entgratet (0 kg/Stk)</v>
      </c>
      <c r="H572" s="989"/>
      <c r="I572" s="989"/>
      <c r="J572" s="989"/>
      <c r="K572" s="989"/>
      <c r="L572" s="989"/>
      <c r="M572" s="990"/>
      <c r="N572" s="313"/>
      <c r="O572" s="426">
        <f t="shared" si="20"/>
        <v>0</v>
      </c>
      <c r="P572" s="286"/>
    </row>
    <row r="573" spans="2:16" ht="32.1" hidden="1" customHeight="1">
      <c r="B573" s="556"/>
      <c r="C573" s="312">
        <v>0</v>
      </c>
      <c r="D573" s="317">
        <f t="shared" si="19"/>
        <v>0</v>
      </c>
      <c r="E573" s="318" t="str">
        <f>VLOOKUP("[m]",Sprachindex!$A:$Z,Haftungsausschluß!$O$6,FALSE)</f>
        <v>[m]</v>
      </c>
      <c r="F573" s="318" t="str">
        <f>IF($L$14=1,Preisliste!$E$16,Preisliste!$F$16)</f>
        <v>H801001</v>
      </c>
      <c r="G573" s="988" t="str">
        <f>VLOOKUP("Dammbalken 80/200 exkl. Dichtung, gesägt und entgratet",Sprachindex!$A:$Z,Haftungsausschluß!$O$6,FALSE) &amp; " (" &amp; ROUNDUP(C573/1000*7.78,2) &amp; " " &amp; VLOOKUP("kg/Stk",Sprachindex!$A:$Z,Haftungsausschluß!$O$6,FALSE) &amp; ")" &amp; IF('Kalkulation 1'!$AH$33," " &amp; 'Kalkulation 1'!$R$9,"")</f>
        <v>Dammbalken 80/200 exkl. Dichtung, gesägt und entgratet (0 kg/Stk)</v>
      </c>
      <c r="H573" s="989"/>
      <c r="I573" s="989"/>
      <c r="J573" s="989"/>
      <c r="K573" s="989"/>
      <c r="L573" s="989"/>
      <c r="M573" s="990"/>
      <c r="N573" s="313"/>
      <c r="O573" s="426">
        <f t="shared" si="20"/>
        <v>0</v>
      </c>
      <c r="P573" s="286"/>
    </row>
    <row r="574" spans="2:16" ht="32.1" hidden="1" customHeight="1">
      <c r="B574" s="556"/>
      <c r="C574" s="312">
        <v>0</v>
      </c>
      <c r="D574" s="317">
        <f t="shared" si="19"/>
        <v>0</v>
      </c>
      <c r="E574" s="318" t="str">
        <f>VLOOKUP("[m]",Sprachindex!$A:$Z,Haftungsausschluß!$O$6,FALSE)</f>
        <v>[m]</v>
      </c>
      <c r="F574" s="318" t="str">
        <f>IF($L$14=1,Preisliste!$E$16,Preisliste!$F$16)</f>
        <v>H801001</v>
      </c>
      <c r="G574" s="988" t="str">
        <f>VLOOKUP("Dammbalken 80/200 exkl. Dichtung, gesägt und entgratet",Sprachindex!$A:$Z,Haftungsausschluß!$O$6,FALSE) &amp; " (" &amp; ROUNDUP(C574/1000*7.78,2) &amp; " " &amp; VLOOKUP("kg/Stk",Sprachindex!$A:$Z,Haftungsausschluß!$O$6,FALSE) &amp; ")" &amp; IF('Kalkulation 1'!$AH$33," " &amp; 'Kalkulation 1'!$R$9,"")</f>
        <v>Dammbalken 80/200 exkl. Dichtung, gesägt und entgratet (0 kg/Stk)</v>
      </c>
      <c r="H574" s="989"/>
      <c r="I574" s="989"/>
      <c r="J574" s="989"/>
      <c r="K574" s="989"/>
      <c r="L574" s="989"/>
      <c r="M574" s="990"/>
      <c r="N574" s="313"/>
      <c r="O574" s="426">
        <f t="shared" si="20"/>
        <v>0</v>
      </c>
      <c r="P574" s="286"/>
    </row>
    <row r="575" spans="2:16" ht="32.1" hidden="1" customHeight="1">
      <c r="B575" s="556"/>
      <c r="C575" s="312">
        <v>0</v>
      </c>
      <c r="D575" s="317">
        <f t="shared" si="19"/>
        <v>0</v>
      </c>
      <c r="E575" s="318" t="str">
        <f>VLOOKUP("[m]",Sprachindex!$A:$Z,Haftungsausschluß!$O$6,FALSE)</f>
        <v>[m]</v>
      </c>
      <c r="F575" s="318" t="str">
        <f>IF($L$14=1,Preisliste!$E$16,Preisliste!$F$16)</f>
        <v>H801001</v>
      </c>
      <c r="G575" s="988" t="str">
        <f>VLOOKUP("Dammbalken 80/200 exkl. Dichtung, gesägt und entgratet",Sprachindex!$A:$Z,Haftungsausschluß!$O$6,FALSE) &amp; " (" &amp; ROUNDUP(C575/1000*7.78,2) &amp; " " &amp; VLOOKUP("kg/Stk",Sprachindex!$A:$Z,Haftungsausschluß!$O$6,FALSE) &amp; ")" &amp; IF('Kalkulation 1'!$AH$33," " &amp; 'Kalkulation 1'!$R$9,"")</f>
        <v>Dammbalken 80/200 exkl. Dichtung, gesägt und entgratet (0 kg/Stk)</v>
      </c>
      <c r="H575" s="989"/>
      <c r="I575" s="989"/>
      <c r="J575" s="989"/>
      <c r="K575" s="989"/>
      <c r="L575" s="989"/>
      <c r="M575" s="990"/>
      <c r="N575" s="313"/>
      <c r="O575" s="426">
        <f t="shared" si="20"/>
        <v>0</v>
      </c>
      <c r="P575" s="286"/>
    </row>
    <row r="576" spans="2:16" ht="32.1" hidden="1" customHeight="1">
      <c r="B576" s="556"/>
      <c r="C576" s="312">
        <v>0</v>
      </c>
      <c r="D576" s="317">
        <f t="shared" si="19"/>
        <v>0</v>
      </c>
      <c r="E576" s="318" t="str">
        <f>VLOOKUP("[m]",Sprachindex!$A:$Z,Haftungsausschluß!$O$6,FALSE)</f>
        <v>[m]</v>
      </c>
      <c r="F576" s="318" t="str">
        <f>IF($L$14=1,Preisliste!$E$16,Preisliste!$F$16)</f>
        <v>H801001</v>
      </c>
      <c r="G576" s="988" t="str">
        <f>VLOOKUP("Dammbalken 80/200 exkl. Dichtung, gesägt und entgratet",Sprachindex!$A:$Z,Haftungsausschluß!$O$6,FALSE) &amp; " (" &amp; ROUNDUP(C576/1000*7.78,2) &amp; " " &amp; VLOOKUP("kg/Stk",Sprachindex!$A:$Z,Haftungsausschluß!$O$6,FALSE) &amp; ")" &amp; IF('Kalkulation 1'!$AH$33," " &amp; 'Kalkulation 1'!$R$9,"")</f>
        <v>Dammbalken 80/200 exkl. Dichtung, gesägt und entgratet (0 kg/Stk)</v>
      </c>
      <c r="H576" s="989"/>
      <c r="I576" s="989"/>
      <c r="J576" s="989"/>
      <c r="K576" s="989"/>
      <c r="L576" s="989"/>
      <c r="M576" s="990"/>
      <c r="N576" s="313"/>
      <c r="O576" s="426">
        <f t="shared" si="20"/>
        <v>0</v>
      </c>
      <c r="P576" s="286"/>
    </row>
    <row r="577" spans="2:16" ht="32.1" hidden="1" customHeight="1">
      <c r="B577" s="556"/>
      <c r="C577" s="312">
        <v>0</v>
      </c>
      <c r="D577" s="317">
        <f t="shared" si="19"/>
        <v>0</v>
      </c>
      <c r="E577" s="318" t="str">
        <f>VLOOKUP("[m]",Sprachindex!$A:$Z,Haftungsausschluß!$O$6,FALSE)</f>
        <v>[m]</v>
      </c>
      <c r="F577" s="318" t="str">
        <f>IF($L$14=1,Preisliste!$E$16,Preisliste!$F$16)</f>
        <v>H801001</v>
      </c>
      <c r="G577" s="988" t="str">
        <f>VLOOKUP("Dammbalken 80/200 exkl. Dichtung, gesägt und entgratet",Sprachindex!$A:$Z,Haftungsausschluß!$O$6,FALSE) &amp; " (" &amp; ROUNDUP(C577/1000*7.78,2) &amp; " " &amp; VLOOKUP("kg/Stk",Sprachindex!$A:$Z,Haftungsausschluß!$O$6,FALSE) &amp; ")" &amp; IF('Kalkulation 1'!$AH$33," " &amp; 'Kalkulation 1'!$R$9,"")</f>
        <v>Dammbalken 80/200 exkl. Dichtung, gesägt und entgratet (0 kg/Stk)</v>
      </c>
      <c r="H577" s="989"/>
      <c r="I577" s="989"/>
      <c r="J577" s="989"/>
      <c r="K577" s="989"/>
      <c r="L577" s="989"/>
      <c r="M577" s="990"/>
      <c r="N577" s="313"/>
      <c r="O577" s="426">
        <f t="shared" si="20"/>
        <v>0</v>
      </c>
      <c r="P577" s="286"/>
    </row>
    <row r="578" spans="2:16" ht="32.1" hidden="1" customHeight="1">
      <c r="B578" s="556"/>
      <c r="C578" s="312">
        <v>0</v>
      </c>
      <c r="D578" s="317">
        <f t="shared" si="19"/>
        <v>0</v>
      </c>
      <c r="E578" s="318" t="str">
        <f>VLOOKUP("[m]",Sprachindex!$A:$Z,Haftungsausschluß!$O$6,FALSE)</f>
        <v>[m]</v>
      </c>
      <c r="F578" s="318" t="str">
        <f>IF($L$14=1,Preisliste!$E$16,Preisliste!$F$16)</f>
        <v>H801001</v>
      </c>
      <c r="G578" s="988" t="str">
        <f>VLOOKUP("Dammbalken 80/200 exkl. Dichtung, gesägt und entgratet",Sprachindex!$A:$Z,Haftungsausschluß!$O$6,FALSE) &amp; " (" &amp; ROUNDUP(C578/1000*7.78,2) &amp; " " &amp; VLOOKUP("kg/Stk",Sprachindex!$A:$Z,Haftungsausschluß!$O$6,FALSE) &amp; ")" &amp; IF('Kalkulation 1'!$AH$33," " &amp; 'Kalkulation 1'!$R$9,"")</f>
        <v>Dammbalken 80/200 exkl. Dichtung, gesägt und entgratet (0 kg/Stk)</v>
      </c>
      <c r="H578" s="989"/>
      <c r="I578" s="989"/>
      <c r="J578" s="989"/>
      <c r="K578" s="989"/>
      <c r="L578" s="989"/>
      <c r="M578" s="990"/>
      <c r="N578" s="313"/>
      <c r="O578" s="426">
        <f t="shared" si="20"/>
        <v>0</v>
      </c>
      <c r="P578" s="286"/>
    </row>
    <row r="579" spans="2:16" ht="32.1" hidden="1" customHeight="1">
      <c r="B579" s="556"/>
      <c r="C579" s="312">
        <v>0</v>
      </c>
      <c r="D579" s="317">
        <f t="shared" si="19"/>
        <v>0</v>
      </c>
      <c r="E579" s="318" t="str">
        <f>VLOOKUP("[m]",Sprachindex!$A:$Z,Haftungsausschluß!$O$6,FALSE)</f>
        <v>[m]</v>
      </c>
      <c r="F579" s="318" t="str">
        <f>IF($L$14=1,Preisliste!$E$16,Preisliste!$F$16)</f>
        <v>H801001</v>
      </c>
      <c r="G579" s="988" t="str">
        <f>VLOOKUP("Dammbalken 80/200 exkl. Dichtung, gesägt und entgratet",Sprachindex!$A:$Z,Haftungsausschluß!$O$6,FALSE) &amp; " (" &amp; ROUNDUP(C579/1000*7.78,2) &amp; " " &amp; VLOOKUP("kg/Stk",Sprachindex!$A:$Z,Haftungsausschluß!$O$6,FALSE) &amp; ")" &amp; IF('Kalkulation 1'!$AH$33," " &amp; 'Kalkulation 1'!$R$9,"")</f>
        <v>Dammbalken 80/200 exkl. Dichtung, gesägt und entgratet (0 kg/Stk)</v>
      </c>
      <c r="H579" s="989"/>
      <c r="I579" s="989"/>
      <c r="J579" s="989"/>
      <c r="K579" s="989"/>
      <c r="L579" s="989"/>
      <c r="M579" s="990"/>
      <c r="N579" s="313"/>
      <c r="O579" s="426">
        <f t="shared" si="20"/>
        <v>0</v>
      </c>
      <c r="P579" s="286"/>
    </row>
    <row r="580" spans="2:16" ht="32.1" hidden="1" customHeight="1">
      <c r="B580" s="556"/>
      <c r="C580" s="312">
        <v>0</v>
      </c>
      <c r="D580" s="317">
        <f t="shared" si="19"/>
        <v>0</v>
      </c>
      <c r="E580" s="318" t="str">
        <f>VLOOKUP("[m]",Sprachindex!$A:$Z,Haftungsausschluß!$O$6,FALSE)</f>
        <v>[m]</v>
      </c>
      <c r="F580" s="318" t="str">
        <f>IF($L$14=1,Preisliste!$E$16,Preisliste!$F$16)</f>
        <v>H801001</v>
      </c>
      <c r="G580" s="988" t="str">
        <f>VLOOKUP("Dammbalken 80/200 exkl. Dichtung, gesägt und entgratet",Sprachindex!$A:$Z,Haftungsausschluß!$O$6,FALSE) &amp; " (" &amp; ROUNDUP(C580/1000*7.78,2) &amp; " " &amp; VLOOKUP("kg/Stk",Sprachindex!$A:$Z,Haftungsausschluß!$O$6,FALSE) &amp; ")" &amp; IF('Kalkulation 1'!$AH$33," " &amp; 'Kalkulation 1'!$R$9,"")</f>
        <v>Dammbalken 80/200 exkl. Dichtung, gesägt und entgratet (0 kg/Stk)</v>
      </c>
      <c r="H580" s="989"/>
      <c r="I580" s="989"/>
      <c r="J580" s="989"/>
      <c r="K580" s="989"/>
      <c r="L580" s="989"/>
      <c r="M580" s="990"/>
      <c r="N580" s="313"/>
      <c r="O580" s="426">
        <f t="shared" si="20"/>
        <v>0</v>
      </c>
      <c r="P580" s="286"/>
    </row>
    <row r="581" spans="2:16" ht="32.1" hidden="1" customHeight="1">
      <c r="B581" s="556"/>
      <c r="C581" s="312">
        <v>0</v>
      </c>
      <c r="D581" s="317">
        <f t="shared" si="19"/>
        <v>0</v>
      </c>
      <c r="E581" s="318" t="str">
        <f>VLOOKUP("[m]",Sprachindex!$A:$Z,Haftungsausschluß!$O$6,FALSE)</f>
        <v>[m]</v>
      </c>
      <c r="F581" s="318" t="str">
        <f>IF($L$14=1,Preisliste!$E$16,Preisliste!$F$16)</f>
        <v>H801001</v>
      </c>
      <c r="G581" s="988" t="str">
        <f>VLOOKUP("Dammbalken 80/200 exkl. Dichtung, gesägt und entgratet",Sprachindex!$A:$Z,Haftungsausschluß!$O$6,FALSE) &amp; " (" &amp; ROUNDUP(C581/1000*7.78,2) &amp; " " &amp; VLOOKUP("kg/Stk",Sprachindex!$A:$Z,Haftungsausschluß!$O$6,FALSE) &amp; ")" &amp; IF('Kalkulation 1'!$AH$33," " &amp; 'Kalkulation 1'!$R$9,"")</f>
        <v>Dammbalken 80/200 exkl. Dichtung, gesägt und entgratet (0 kg/Stk)</v>
      </c>
      <c r="H581" s="989"/>
      <c r="I581" s="989"/>
      <c r="J581" s="989"/>
      <c r="K581" s="989"/>
      <c r="L581" s="989"/>
      <c r="M581" s="990"/>
      <c r="N581" s="313"/>
      <c r="O581" s="426">
        <f t="shared" si="20"/>
        <v>0</v>
      </c>
      <c r="P581" s="286"/>
    </row>
    <row r="582" spans="2:16" ht="32.1" hidden="1" customHeight="1">
      <c r="B582" s="556"/>
      <c r="C582" s="312">
        <v>0</v>
      </c>
      <c r="D582" s="317">
        <f t="shared" si="19"/>
        <v>0</v>
      </c>
      <c r="E582" s="318" t="str">
        <f>VLOOKUP("[m]",Sprachindex!$A:$Z,Haftungsausschluß!$O$6,FALSE)</f>
        <v>[m]</v>
      </c>
      <c r="F582" s="318" t="str">
        <f>IF($L$14=1,Preisliste!$E$16,Preisliste!$F$16)</f>
        <v>H801001</v>
      </c>
      <c r="G582" s="988" t="str">
        <f>VLOOKUP("Dammbalken 80/200 exkl. Dichtung, gesägt und entgratet",Sprachindex!$A:$Z,Haftungsausschluß!$O$6,FALSE) &amp; " (" &amp; ROUNDUP(C582/1000*7.78,2) &amp; " " &amp; VLOOKUP("kg/Stk",Sprachindex!$A:$Z,Haftungsausschluß!$O$6,FALSE) &amp; ")" &amp; IF('Kalkulation 1'!$AH$33," " &amp; 'Kalkulation 1'!$R$9,"")</f>
        <v>Dammbalken 80/200 exkl. Dichtung, gesägt und entgratet (0 kg/Stk)</v>
      </c>
      <c r="H582" s="989"/>
      <c r="I582" s="989"/>
      <c r="J582" s="989"/>
      <c r="K582" s="989"/>
      <c r="L582" s="989"/>
      <c r="M582" s="990"/>
      <c r="N582" s="313"/>
      <c r="O582" s="426">
        <f t="shared" si="20"/>
        <v>0</v>
      </c>
      <c r="P582" s="286"/>
    </row>
    <row r="583" spans="2:16" ht="32.1" hidden="1" customHeight="1">
      <c r="B583" s="556"/>
      <c r="C583" s="312">
        <v>0</v>
      </c>
      <c r="D583" s="317">
        <f t="shared" si="19"/>
        <v>0</v>
      </c>
      <c r="E583" s="318" t="str">
        <f>VLOOKUP("[m]",Sprachindex!$A:$Z,Haftungsausschluß!$O$6,FALSE)</f>
        <v>[m]</v>
      </c>
      <c r="F583" s="318" t="str">
        <f>IF($L$14=1,Preisliste!$E$16,Preisliste!$F$16)</f>
        <v>H801001</v>
      </c>
      <c r="G583" s="988" t="str">
        <f>VLOOKUP("Dammbalken 80/200 exkl. Dichtung, gesägt und entgratet",Sprachindex!$A:$Z,Haftungsausschluß!$O$6,FALSE) &amp; " (" &amp; ROUNDUP(C583/1000*7.78,2) &amp; " " &amp; VLOOKUP("kg/Stk",Sprachindex!$A:$Z,Haftungsausschluß!$O$6,FALSE) &amp; ")" &amp; IF('Kalkulation 1'!$AH$33," " &amp; 'Kalkulation 1'!$R$9,"")</f>
        <v>Dammbalken 80/200 exkl. Dichtung, gesägt und entgratet (0 kg/Stk)</v>
      </c>
      <c r="H583" s="989"/>
      <c r="I583" s="989"/>
      <c r="J583" s="989"/>
      <c r="K583" s="989"/>
      <c r="L583" s="989"/>
      <c r="M583" s="990"/>
      <c r="N583" s="313"/>
      <c r="O583" s="426">
        <f t="shared" si="20"/>
        <v>0</v>
      </c>
      <c r="P583" s="286"/>
    </row>
    <row r="584" spans="2:16" ht="32.1" hidden="1" customHeight="1">
      <c r="B584" s="556"/>
      <c r="C584" s="312">
        <v>0</v>
      </c>
      <c r="D584" s="317">
        <f t="shared" si="19"/>
        <v>0</v>
      </c>
      <c r="E584" s="318" t="str">
        <f>VLOOKUP("[m]",Sprachindex!$A:$Z,Haftungsausschluß!$O$6,FALSE)</f>
        <v>[m]</v>
      </c>
      <c r="F584" s="318" t="str">
        <f>IF($L$14=1,Preisliste!$E$16,Preisliste!$F$16)</f>
        <v>H801001</v>
      </c>
      <c r="G584" s="988" t="str">
        <f>VLOOKUP("Dammbalken 80/200 exkl. Dichtung, gesägt und entgratet",Sprachindex!$A:$Z,Haftungsausschluß!$O$6,FALSE) &amp; " (" &amp; ROUNDUP(C584/1000*7.78,2) &amp; " " &amp; VLOOKUP("kg/Stk",Sprachindex!$A:$Z,Haftungsausschluß!$O$6,FALSE) &amp; ")" &amp; IF('Kalkulation 1'!$AH$33," " &amp; 'Kalkulation 1'!$R$9,"")</f>
        <v>Dammbalken 80/200 exkl. Dichtung, gesägt und entgratet (0 kg/Stk)</v>
      </c>
      <c r="H584" s="989"/>
      <c r="I584" s="989"/>
      <c r="J584" s="989"/>
      <c r="K584" s="989"/>
      <c r="L584" s="989"/>
      <c r="M584" s="990"/>
      <c r="N584" s="313"/>
      <c r="O584" s="426">
        <f t="shared" si="20"/>
        <v>0</v>
      </c>
      <c r="P584" s="286"/>
    </row>
    <row r="585" spans="2:16" ht="32.1" hidden="1" customHeight="1">
      <c r="B585" s="556"/>
      <c r="C585" s="312">
        <v>0</v>
      </c>
      <c r="D585" s="317">
        <f t="shared" si="19"/>
        <v>0</v>
      </c>
      <c r="E585" s="318" t="str">
        <f>VLOOKUP("[m]",Sprachindex!$A:$Z,Haftungsausschluß!$O$6,FALSE)</f>
        <v>[m]</v>
      </c>
      <c r="F585" s="318" t="str">
        <f>IF($L$14=1,Preisliste!$E$16,Preisliste!$F$16)</f>
        <v>H801001</v>
      </c>
      <c r="G585" s="988" t="str">
        <f>VLOOKUP("Dammbalken 80/200 exkl. Dichtung, gesägt und entgratet",Sprachindex!$A:$Z,Haftungsausschluß!$O$6,FALSE) &amp; " (" &amp; ROUNDUP(C585/1000*7.78,2) &amp; " " &amp; VLOOKUP("kg/Stk",Sprachindex!$A:$Z,Haftungsausschluß!$O$6,FALSE) &amp; ")" &amp; IF('Kalkulation 1'!$AH$33," " &amp; 'Kalkulation 1'!$R$9,"")</f>
        <v>Dammbalken 80/200 exkl. Dichtung, gesägt und entgratet (0 kg/Stk)</v>
      </c>
      <c r="H585" s="989"/>
      <c r="I585" s="989"/>
      <c r="J585" s="989"/>
      <c r="K585" s="989"/>
      <c r="L585" s="989"/>
      <c r="M585" s="990"/>
      <c r="N585" s="313"/>
      <c r="O585" s="426">
        <f t="shared" si="20"/>
        <v>0</v>
      </c>
      <c r="P585" s="286"/>
    </row>
    <row r="586" spans="2:16" ht="32.1" hidden="1" customHeight="1">
      <c r="B586" s="556"/>
      <c r="C586" s="312">
        <v>0</v>
      </c>
      <c r="D586" s="317">
        <f t="shared" si="19"/>
        <v>0</v>
      </c>
      <c r="E586" s="318" t="str">
        <f>VLOOKUP("[m]",Sprachindex!$A:$Z,Haftungsausschluß!$O$6,FALSE)</f>
        <v>[m]</v>
      </c>
      <c r="F586" s="318" t="str">
        <f>IF($L$14=1,Preisliste!$E$16,Preisliste!$F$16)</f>
        <v>H801001</v>
      </c>
      <c r="G586" s="988" t="str">
        <f>VLOOKUP("Dammbalken 80/200 exkl. Dichtung, gesägt und entgratet",Sprachindex!$A:$Z,Haftungsausschluß!$O$6,FALSE) &amp; " (" &amp; ROUNDUP(C586/1000*7.78,2) &amp; " " &amp; VLOOKUP("kg/Stk",Sprachindex!$A:$Z,Haftungsausschluß!$O$6,FALSE) &amp; ")" &amp; IF('Kalkulation 1'!$AH$33," " &amp; 'Kalkulation 1'!$R$9,"")</f>
        <v>Dammbalken 80/200 exkl. Dichtung, gesägt und entgratet (0 kg/Stk)</v>
      </c>
      <c r="H586" s="989"/>
      <c r="I586" s="989"/>
      <c r="J586" s="989"/>
      <c r="K586" s="989"/>
      <c r="L586" s="989"/>
      <c r="M586" s="990"/>
      <c r="N586" s="313"/>
      <c r="O586" s="426">
        <f t="shared" si="20"/>
        <v>0</v>
      </c>
      <c r="P586" s="286"/>
    </row>
    <row r="587" spans="2:16" ht="32.1" hidden="1" customHeight="1">
      <c r="B587" s="556"/>
      <c r="C587" s="312">
        <v>0</v>
      </c>
      <c r="D587" s="317">
        <f t="shared" si="19"/>
        <v>0</v>
      </c>
      <c r="E587" s="318" t="str">
        <f>VLOOKUP("[m]",Sprachindex!$A:$Z,Haftungsausschluß!$O$6,FALSE)</f>
        <v>[m]</v>
      </c>
      <c r="F587" s="318" t="str">
        <f>IF($L$14=1,Preisliste!$E$16,Preisliste!$F$16)</f>
        <v>H801001</v>
      </c>
      <c r="G587" s="988" t="str">
        <f>VLOOKUP("Dammbalken 80/200 exkl. Dichtung, gesägt und entgratet",Sprachindex!$A:$Z,Haftungsausschluß!$O$6,FALSE) &amp; " (" &amp; ROUNDUP(C587/1000*7.78,2) &amp; " " &amp; VLOOKUP("kg/Stk",Sprachindex!$A:$Z,Haftungsausschluß!$O$6,FALSE) &amp; ")" &amp; IF('Kalkulation 1'!$AH$33," " &amp; 'Kalkulation 1'!$R$9,"")</f>
        <v>Dammbalken 80/200 exkl. Dichtung, gesägt und entgratet (0 kg/Stk)</v>
      </c>
      <c r="H587" s="989"/>
      <c r="I587" s="989"/>
      <c r="J587" s="989"/>
      <c r="K587" s="989"/>
      <c r="L587" s="989"/>
      <c r="M587" s="990"/>
      <c r="N587" s="313"/>
      <c r="O587" s="426">
        <f t="shared" si="20"/>
        <v>0</v>
      </c>
      <c r="P587" s="286"/>
    </row>
    <row r="588" spans="2:16" ht="32.1" hidden="1" customHeight="1">
      <c r="B588" s="556"/>
      <c r="C588" s="312">
        <v>0</v>
      </c>
      <c r="D588" s="317">
        <f t="shared" si="19"/>
        <v>0</v>
      </c>
      <c r="E588" s="318" t="str">
        <f>VLOOKUP("[m]",Sprachindex!$A:$Z,Haftungsausschluß!$O$6,FALSE)</f>
        <v>[m]</v>
      </c>
      <c r="F588" s="318" t="str">
        <f>IF($L$14=1,Preisliste!$E$16,Preisliste!$F$16)</f>
        <v>H801001</v>
      </c>
      <c r="G588" s="988" t="str">
        <f>VLOOKUP("Dammbalken 80/200 exkl. Dichtung, gesägt und entgratet",Sprachindex!$A:$Z,Haftungsausschluß!$O$6,FALSE) &amp; " (" &amp; ROUNDUP(C588/1000*7.78,2) &amp; " " &amp; VLOOKUP("kg/Stk",Sprachindex!$A:$Z,Haftungsausschluß!$O$6,FALSE) &amp; ")" &amp; IF('Kalkulation 1'!$AH$33," " &amp; 'Kalkulation 1'!$R$9,"")</f>
        <v>Dammbalken 80/200 exkl. Dichtung, gesägt und entgratet (0 kg/Stk)</v>
      </c>
      <c r="H588" s="989"/>
      <c r="I588" s="989"/>
      <c r="J588" s="989"/>
      <c r="K588" s="989"/>
      <c r="L588" s="989"/>
      <c r="M588" s="990"/>
      <c r="N588" s="313"/>
      <c r="O588" s="426">
        <f t="shared" si="20"/>
        <v>0</v>
      </c>
      <c r="P588" s="286"/>
    </row>
    <row r="589" spans="2:16" ht="32.1" hidden="1" customHeight="1">
      <c r="B589" s="556"/>
      <c r="C589" s="312">
        <v>0</v>
      </c>
      <c r="D589" s="317">
        <f t="shared" si="19"/>
        <v>0</v>
      </c>
      <c r="E589" s="318" t="str">
        <f>VLOOKUP("[m]",Sprachindex!$A:$Z,Haftungsausschluß!$O$6,FALSE)</f>
        <v>[m]</v>
      </c>
      <c r="F589" s="318" t="str">
        <f>IF($L$14=1,Preisliste!$E$16,Preisliste!$F$16)</f>
        <v>H801001</v>
      </c>
      <c r="G589" s="988" t="str">
        <f>VLOOKUP("Dammbalken 80/200 exkl. Dichtung, gesägt und entgratet",Sprachindex!$A:$Z,Haftungsausschluß!$O$6,FALSE) &amp; " (" &amp; ROUNDUP(C589/1000*7.78,2) &amp; " " &amp; VLOOKUP("kg/Stk",Sprachindex!$A:$Z,Haftungsausschluß!$O$6,FALSE) &amp; ")" &amp; IF('Kalkulation 1'!$AH$33," " &amp; 'Kalkulation 1'!$R$9,"")</f>
        <v>Dammbalken 80/200 exkl. Dichtung, gesägt und entgratet (0 kg/Stk)</v>
      </c>
      <c r="H589" s="989"/>
      <c r="I589" s="989"/>
      <c r="J589" s="989"/>
      <c r="K589" s="989"/>
      <c r="L589" s="989"/>
      <c r="M589" s="990"/>
      <c r="N589" s="313"/>
      <c r="O589" s="426">
        <f t="shared" si="20"/>
        <v>0</v>
      </c>
      <c r="P589" s="286"/>
    </row>
    <row r="590" spans="2:16" ht="32.1" hidden="1" customHeight="1">
      <c r="B590" s="556"/>
      <c r="C590" s="312">
        <v>0</v>
      </c>
      <c r="D590" s="317">
        <f t="shared" si="19"/>
        <v>0</v>
      </c>
      <c r="E590" s="318" t="str">
        <f>VLOOKUP("[m]",Sprachindex!$A:$Z,Haftungsausschluß!$O$6,FALSE)</f>
        <v>[m]</v>
      </c>
      <c r="F590" s="318" t="str">
        <f>IF($L$14=1,Preisliste!$E$16,Preisliste!$F$16)</f>
        <v>H801001</v>
      </c>
      <c r="G590" s="988" t="str">
        <f>VLOOKUP("Dammbalken 80/200 exkl. Dichtung, gesägt und entgratet",Sprachindex!$A:$Z,Haftungsausschluß!$O$6,FALSE) &amp; " (" &amp; ROUNDUP(C590/1000*7.78,2) &amp; " " &amp; VLOOKUP("kg/Stk",Sprachindex!$A:$Z,Haftungsausschluß!$O$6,FALSE) &amp; ")" &amp; IF('Kalkulation 1'!$AH$33," " &amp; 'Kalkulation 1'!$R$9,"")</f>
        <v>Dammbalken 80/200 exkl. Dichtung, gesägt und entgratet (0 kg/Stk)</v>
      </c>
      <c r="H590" s="989"/>
      <c r="I590" s="989"/>
      <c r="J590" s="989"/>
      <c r="K590" s="989"/>
      <c r="L590" s="989"/>
      <c r="M590" s="990"/>
      <c r="N590" s="313"/>
      <c r="O590" s="426">
        <f t="shared" si="20"/>
        <v>0</v>
      </c>
      <c r="P590" s="286"/>
    </row>
    <row r="591" spans="2:16" ht="32.1" hidden="1" customHeight="1">
      <c r="B591" s="556"/>
      <c r="C591" s="312">
        <v>0</v>
      </c>
      <c r="D591" s="317">
        <f t="shared" ref="D591:D606" si="21">B591*C591/1000</f>
        <v>0</v>
      </c>
      <c r="E591" s="318" t="str">
        <f>VLOOKUP("[m]",Sprachindex!$A:$Z,Haftungsausschluß!$O$6,FALSE)</f>
        <v>[m]</v>
      </c>
      <c r="F591" s="318" t="str">
        <f>IF($L$14=1,Preisliste!$E$16,Preisliste!$F$16)</f>
        <v>H801001</v>
      </c>
      <c r="G591" s="988" t="str">
        <f>VLOOKUP("Dammbalken 80/200 exkl. Dichtung, gesägt und entgratet",Sprachindex!$A:$Z,Haftungsausschluß!$O$6,FALSE) &amp; " (" &amp; ROUNDUP(C591/1000*7.78,2) &amp; " " &amp; VLOOKUP("kg/Stk",Sprachindex!$A:$Z,Haftungsausschluß!$O$6,FALSE) &amp; ")" &amp; IF('Kalkulation 1'!$AH$33," " &amp; 'Kalkulation 1'!$R$9,"")</f>
        <v>Dammbalken 80/200 exkl. Dichtung, gesägt und entgratet (0 kg/Stk)</v>
      </c>
      <c r="H591" s="989"/>
      <c r="I591" s="989"/>
      <c r="J591" s="989"/>
      <c r="K591" s="989"/>
      <c r="L591" s="989"/>
      <c r="M591" s="990"/>
      <c r="N591" s="313"/>
      <c r="O591" s="426">
        <f t="shared" ref="O591:O606" si="22">N591*D591</f>
        <v>0</v>
      </c>
      <c r="P591" s="286"/>
    </row>
    <row r="592" spans="2:16" ht="32.1" hidden="1" customHeight="1">
      <c r="B592" s="556"/>
      <c r="C592" s="312">
        <v>0</v>
      </c>
      <c r="D592" s="317">
        <f t="shared" si="21"/>
        <v>0</v>
      </c>
      <c r="E592" s="318" t="str">
        <f>VLOOKUP("[m]",Sprachindex!$A:$Z,Haftungsausschluß!$O$6,FALSE)</f>
        <v>[m]</v>
      </c>
      <c r="F592" s="318" t="str">
        <f>IF($L$14=1,Preisliste!$E$16,Preisliste!$F$16)</f>
        <v>H801001</v>
      </c>
      <c r="G592" s="988" t="str">
        <f>VLOOKUP("Dammbalken 80/200 exkl. Dichtung, gesägt und entgratet",Sprachindex!$A:$Z,Haftungsausschluß!$O$6,FALSE) &amp; " (" &amp; ROUNDUP(C592/1000*7.78,2) &amp; " " &amp; VLOOKUP("kg/Stk",Sprachindex!$A:$Z,Haftungsausschluß!$O$6,FALSE) &amp; ")" &amp; IF('Kalkulation 1'!$AH$33," " &amp; 'Kalkulation 1'!$R$9,"")</f>
        <v>Dammbalken 80/200 exkl. Dichtung, gesägt und entgratet (0 kg/Stk)</v>
      </c>
      <c r="H592" s="989"/>
      <c r="I592" s="989"/>
      <c r="J592" s="989"/>
      <c r="K592" s="989"/>
      <c r="L592" s="989"/>
      <c r="M592" s="990"/>
      <c r="N592" s="313"/>
      <c r="O592" s="426">
        <f t="shared" si="22"/>
        <v>0</v>
      </c>
      <c r="P592" s="286"/>
    </row>
    <row r="593" spans="2:16" ht="32.1" hidden="1" customHeight="1">
      <c r="B593" s="556"/>
      <c r="C593" s="312">
        <v>0</v>
      </c>
      <c r="D593" s="317">
        <f t="shared" si="21"/>
        <v>0</v>
      </c>
      <c r="E593" s="318" t="str">
        <f>VLOOKUP("[m]",Sprachindex!$A:$Z,Haftungsausschluß!$O$6,FALSE)</f>
        <v>[m]</v>
      </c>
      <c r="F593" s="318" t="str">
        <f>IF($L$14=1,Preisliste!$E$16,Preisliste!$F$16)</f>
        <v>H801001</v>
      </c>
      <c r="G593" s="988" t="str">
        <f>VLOOKUP("Dammbalken 80/200 exkl. Dichtung, gesägt und entgratet",Sprachindex!$A:$Z,Haftungsausschluß!$O$6,FALSE) &amp; " (" &amp; ROUNDUP(C593/1000*7.78,2) &amp; " " &amp; VLOOKUP("kg/Stk",Sprachindex!$A:$Z,Haftungsausschluß!$O$6,FALSE) &amp; ")" &amp; IF('Kalkulation 1'!$AH$33," " &amp; 'Kalkulation 1'!$R$9,"")</f>
        <v>Dammbalken 80/200 exkl. Dichtung, gesägt und entgratet (0 kg/Stk)</v>
      </c>
      <c r="H593" s="989"/>
      <c r="I593" s="989"/>
      <c r="J593" s="989"/>
      <c r="K593" s="989"/>
      <c r="L593" s="989"/>
      <c r="M593" s="990"/>
      <c r="N593" s="313"/>
      <c r="O593" s="426">
        <f t="shared" si="22"/>
        <v>0</v>
      </c>
      <c r="P593" s="286"/>
    </row>
    <row r="594" spans="2:16" ht="32.1" hidden="1" customHeight="1">
      <c r="B594" s="556"/>
      <c r="C594" s="312">
        <v>0</v>
      </c>
      <c r="D594" s="317">
        <f t="shared" si="21"/>
        <v>0</v>
      </c>
      <c r="E594" s="318" t="str">
        <f>VLOOKUP("[m]",Sprachindex!$A:$Z,Haftungsausschluß!$O$6,FALSE)</f>
        <v>[m]</v>
      </c>
      <c r="F594" s="318" t="str">
        <f>IF($L$14=1,Preisliste!$E$16,Preisliste!$F$16)</f>
        <v>H801001</v>
      </c>
      <c r="G594" s="988" t="str">
        <f>VLOOKUP("Dammbalken 80/200 exkl. Dichtung, gesägt und entgratet",Sprachindex!$A:$Z,Haftungsausschluß!$O$6,FALSE) &amp; " (" &amp; ROUNDUP(C594/1000*7.78,2) &amp; " " &amp; VLOOKUP("kg/Stk",Sprachindex!$A:$Z,Haftungsausschluß!$O$6,FALSE) &amp; ")" &amp; IF('Kalkulation 1'!$AH$33," " &amp; 'Kalkulation 1'!$R$9,"")</f>
        <v>Dammbalken 80/200 exkl. Dichtung, gesägt und entgratet (0 kg/Stk)</v>
      </c>
      <c r="H594" s="989"/>
      <c r="I594" s="989"/>
      <c r="J594" s="989"/>
      <c r="K594" s="989"/>
      <c r="L594" s="989"/>
      <c r="M594" s="990"/>
      <c r="N594" s="313"/>
      <c r="O594" s="426">
        <f t="shared" si="22"/>
        <v>0</v>
      </c>
      <c r="P594" s="286"/>
    </row>
    <row r="595" spans="2:16" ht="32.1" hidden="1" customHeight="1">
      <c r="B595" s="556"/>
      <c r="C595" s="312">
        <v>0</v>
      </c>
      <c r="D595" s="317">
        <f t="shared" si="21"/>
        <v>0</v>
      </c>
      <c r="E595" s="318" t="str">
        <f>VLOOKUP("[m]",Sprachindex!$A:$Z,Haftungsausschluß!$O$6,FALSE)</f>
        <v>[m]</v>
      </c>
      <c r="F595" s="318" t="str">
        <f>IF($L$14=1,Preisliste!$E$16,Preisliste!$F$16)</f>
        <v>H801001</v>
      </c>
      <c r="G595" s="988" t="str">
        <f>VLOOKUP("Dammbalken 80/200 exkl. Dichtung, gesägt und entgratet",Sprachindex!$A:$Z,Haftungsausschluß!$O$6,FALSE) &amp; " (" &amp; ROUNDUP(C595/1000*7.78,2) &amp; " " &amp; VLOOKUP("kg/Stk",Sprachindex!$A:$Z,Haftungsausschluß!$O$6,FALSE) &amp; ")" &amp; IF('Kalkulation 1'!$AH$33," " &amp; 'Kalkulation 1'!$R$9,"")</f>
        <v>Dammbalken 80/200 exkl. Dichtung, gesägt und entgratet (0 kg/Stk)</v>
      </c>
      <c r="H595" s="989"/>
      <c r="I595" s="989"/>
      <c r="J595" s="989"/>
      <c r="K595" s="989"/>
      <c r="L595" s="989"/>
      <c r="M595" s="990"/>
      <c r="N595" s="313"/>
      <c r="O595" s="426">
        <f t="shared" si="22"/>
        <v>0</v>
      </c>
      <c r="P595" s="286"/>
    </row>
    <row r="596" spans="2:16" ht="32.1" hidden="1" customHeight="1">
      <c r="B596" s="556"/>
      <c r="C596" s="312">
        <v>0</v>
      </c>
      <c r="D596" s="317">
        <f t="shared" si="21"/>
        <v>0</v>
      </c>
      <c r="E596" s="318" t="str">
        <f>VLOOKUP("[m]",Sprachindex!$A:$Z,Haftungsausschluß!$O$6,FALSE)</f>
        <v>[m]</v>
      </c>
      <c r="F596" s="318" t="str">
        <f>IF($L$14=1,Preisliste!$E$16,Preisliste!$F$16)</f>
        <v>H801001</v>
      </c>
      <c r="G596" s="988" t="str">
        <f>VLOOKUP("Dammbalken 80/200 exkl. Dichtung, gesägt und entgratet",Sprachindex!$A:$Z,Haftungsausschluß!$O$6,FALSE) &amp; " (" &amp; ROUNDUP(C596/1000*7.78,2) &amp; " " &amp; VLOOKUP("kg/Stk",Sprachindex!$A:$Z,Haftungsausschluß!$O$6,FALSE) &amp; ")" &amp; IF('Kalkulation 1'!$AH$33," " &amp; 'Kalkulation 1'!$R$9,"")</f>
        <v>Dammbalken 80/200 exkl. Dichtung, gesägt und entgratet (0 kg/Stk)</v>
      </c>
      <c r="H596" s="989"/>
      <c r="I596" s="989"/>
      <c r="J596" s="989"/>
      <c r="K596" s="989"/>
      <c r="L596" s="989"/>
      <c r="M596" s="990"/>
      <c r="N596" s="313"/>
      <c r="O596" s="426">
        <f t="shared" si="22"/>
        <v>0</v>
      </c>
      <c r="P596" s="286"/>
    </row>
    <row r="597" spans="2:16" ht="32.1" hidden="1" customHeight="1">
      <c r="B597" s="556"/>
      <c r="C597" s="312">
        <v>0</v>
      </c>
      <c r="D597" s="317">
        <f t="shared" si="21"/>
        <v>0</v>
      </c>
      <c r="E597" s="318" t="str">
        <f>VLOOKUP("[m]",Sprachindex!$A:$Z,Haftungsausschluß!$O$6,FALSE)</f>
        <v>[m]</v>
      </c>
      <c r="F597" s="318" t="str">
        <f>IF($L$14=1,Preisliste!$E$16,Preisliste!$F$16)</f>
        <v>H801001</v>
      </c>
      <c r="G597" s="988" t="str">
        <f>VLOOKUP("Dammbalken 80/200 exkl. Dichtung, gesägt und entgratet",Sprachindex!$A:$Z,Haftungsausschluß!$O$6,FALSE) &amp; " (" &amp; ROUNDUP(C597/1000*7.78,2) &amp; " " &amp; VLOOKUP("kg/Stk",Sprachindex!$A:$Z,Haftungsausschluß!$O$6,FALSE) &amp; ")" &amp; IF('Kalkulation 1'!$AH$33," " &amp; 'Kalkulation 1'!$R$9,"")</f>
        <v>Dammbalken 80/200 exkl. Dichtung, gesägt und entgratet (0 kg/Stk)</v>
      </c>
      <c r="H597" s="989"/>
      <c r="I597" s="989"/>
      <c r="J597" s="989"/>
      <c r="K597" s="989"/>
      <c r="L597" s="989"/>
      <c r="M597" s="990"/>
      <c r="N597" s="313"/>
      <c r="O597" s="426">
        <f t="shared" si="22"/>
        <v>0</v>
      </c>
      <c r="P597" s="286"/>
    </row>
    <row r="598" spans="2:16" ht="32.1" hidden="1" customHeight="1">
      <c r="B598" s="556"/>
      <c r="C598" s="312">
        <v>0</v>
      </c>
      <c r="D598" s="317">
        <f t="shared" si="21"/>
        <v>0</v>
      </c>
      <c r="E598" s="318" t="str">
        <f>VLOOKUP("[m]",Sprachindex!$A:$Z,Haftungsausschluß!$O$6,FALSE)</f>
        <v>[m]</v>
      </c>
      <c r="F598" s="318" t="str">
        <f>IF($L$14=1,Preisliste!$E$16,Preisliste!$F$16)</f>
        <v>H801001</v>
      </c>
      <c r="G598" s="988" t="str">
        <f>VLOOKUP("Dammbalken 80/200 exkl. Dichtung, gesägt und entgratet",Sprachindex!$A:$Z,Haftungsausschluß!$O$6,FALSE) &amp; " (" &amp; ROUNDUP(C598/1000*7.78,2) &amp; " " &amp; VLOOKUP("kg/Stk",Sprachindex!$A:$Z,Haftungsausschluß!$O$6,FALSE) &amp; ")" &amp; IF('Kalkulation 1'!$AH$33," " &amp; 'Kalkulation 1'!$R$9,"")</f>
        <v>Dammbalken 80/200 exkl. Dichtung, gesägt und entgratet (0 kg/Stk)</v>
      </c>
      <c r="H598" s="989"/>
      <c r="I598" s="989"/>
      <c r="J598" s="989"/>
      <c r="K598" s="989"/>
      <c r="L598" s="989"/>
      <c r="M598" s="990"/>
      <c r="N598" s="313"/>
      <c r="O598" s="426">
        <f t="shared" si="22"/>
        <v>0</v>
      </c>
      <c r="P598" s="286"/>
    </row>
    <row r="599" spans="2:16" ht="32.1" hidden="1" customHeight="1">
      <c r="B599" s="556"/>
      <c r="C599" s="312">
        <v>0</v>
      </c>
      <c r="D599" s="317">
        <f t="shared" si="21"/>
        <v>0</v>
      </c>
      <c r="E599" s="318" t="str">
        <f>VLOOKUP("[m]",Sprachindex!$A:$Z,Haftungsausschluß!$O$6,FALSE)</f>
        <v>[m]</v>
      </c>
      <c r="F599" s="318" t="str">
        <f>IF($L$14=1,Preisliste!$E$16,Preisliste!$F$16)</f>
        <v>H801001</v>
      </c>
      <c r="G599" s="988" t="str">
        <f>VLOOKUP("Dammbalken 80/200 exkl. Dichtung, gesägt und entgratet",Sprachindex!$A:$Z,Haftungsausschluß!$O$6,FALSE) &amp; " (" &amp; ROUNDUP(C599/1000*7.78,2) &amp; " " &amp; VLOOKUP("kg/Stk",Sprachindex!$A:$Z,Haftungsausschluß!$O$6,FALSE) &amp; ")" &amp; IF('Kalkulation 1'!$AH$33," " &amp; 'Kalkulation 1'!$R$9,"")</f>
        <v>Dammbalken 80/200 exkl. Dichtung, gesägt und entgratet (0 kg/Stk)</v>
      </c>
      <c r="H599" s="989"/>
      <c r="I599" s="989"/>
      <c r="J599" s="989"/>
      <c r="K599" s="989"/>
      <c r="L599" s="989"/>
      <c r="M599" s="990"/>
      <c r="N599" s="313"/>
      <c r="O599" s="426">
        <f t="shared" si="22"/>
        <v>0</v>
      </c>
      <c r="P599" s="286"/>
    </row>
    <row r="600" spans="2:16" ht="32.1" hidden="1" customHeight="1">
      <c r="B600" s="556"/>
      <c r="C600" s="312">
        <v>0</v>
      </c>
      <c r="D600" s="317">
        <f t="shared" si="21"/>
        <v>0</v>
      </c>
      <c r="E600" s="318" t="str">
        <f>VLOOKUP("[m]",Sprachindex!$A:$Z,Haftungsausschluß!$O$6,FALSE)</f>
        <v>[m]</v>
      </c>
      <c r="F600" s="318" t="str">
        <f>IF($L$14=1,Preisliste!$E$16,Preisliste!$F$16)</f>
        <v>H801001</v>
      </c>
      <c r="G600" s="988" t="str">
        <f>VLOOKUP("Dammbalken 80/200 exkl. Dichtung, gesägt und entgratet",Sprachindex!$A:$Z,Haftungsausschluß!$O$6,FALSE) &amp; " (" &amp; ROUNDUP(C600/1000*7.78,2) &amp; " " &amp; VLOOKUP("kg/Stk",Sprachindex!$A:$Z,Haftungsausschluß!$O$6,FALSE) &amp; ")" &amp; IF('Kalkulation 1'!$AH$33," " &amp; 'Kalkulation 1'!$R$9,"")</f>
        <v>Dammbalken 80/200 exkl. Dichtung, gesägt und entgratet (0 kg/Stk)</v>
      </c>
      <c r="H600" s="989"/>
      <c r="I600" s="989"/>
      <c r="J600" s="989"/>
      <c r="K600" s="989"/>
      <c r="L600" s="989"/>
      <c r="M600" s="990"/>
      <c r="N600" s="313"/>
      <c r="O600" s="426">
        <f t="shared" si="22"/>
        <v>0</v>
      </c>
      <c r="P600" s="286"/>
    </row>
    <row r="601" spans="2:16" ht="32.1" hidden="1" customHeight="1">
      <c r="B601" s="556"/>
      <c r="C601" s="312">
        <v>0</v>
      </c>
      <c r="D601" s="317">
        <f t="shared" si="21"/>
        <v>0</v>
      </c>
      <c r="E601" s="318" t="str">
        <f>VLOOKUP("[m]",Sprachindex!$A:$Z,Haftungsausschluß!$O$6,FALSE)</f>
        <v>[m]</v>
      </c>
      <c r="F601" s="318" t="str">
        <f>IF($L$14=1,Preisliste!$E$16,Preisliste!$F$16)</f>
        <v>H801001</v>
      </c>
      <c r="G601" s="988" t="str">
        <f>VLOOKUP("Dammbalken 80/200 exkl. Dichtung, gesägt und entgratet",Sprachindex!$A:$Z,Haftungsausschluß!$O$6,FALSE) &amp; " (" &amp; ROUNDUP(C601/1000*7.78,2) &amp; " " &amp; VLOOKUP("kg/Stk",Sprachindex!$A:$Z,Haftungsausschluß!$O$6,FALSE) &amp; ")" &amp; IF('Kalkulation 1'!$AH$33," " &amp; 'Kalkulation 1'!$R$9,"")</f>
        <v>Dammbalken 80/200 exkl. Dichtung, gesägt und entgratet (0 kg/Stk)</v>
      </c>
      <c r="H601" s="989"/>
      <c r="I601" s="989"/>
      <c r="J601" s="989"/>
      <c r="K601" s="989"/>
      <c r="L601" s="989"/>
      <c r="M601" s="990"/>
      <c r="N601" s="313"/>
      <c r="O601" s="426">
        <f t="shared" si="22"/>
        <v>0</v>
      </c>
      <c r="P601" s="286"/>
    </row>
    <row r="602" spans="2:16" ht="32.1" hidden="1" customHeight="1">
      <c r="B602" s="556"/>
      <c r="C602" s="312">
        <v>0</v>
      </c>
      <c r="D602" s="317">
        <f t="shared" si="21"/>
        <v>0</v>
      </c>
      <c r="E602" s="318" t="str">
        <f>VLOOKUP("[m]",Sprachindex!$A:$Z,Haftungsausschluß!$O$6,FALSE)</f>
        <v>[m]</v>
      </c>
      <c r="F602" s="318" t="str">
        <f>IF($L$14=1,Preisliste!$E$16,Preisliste!$F$16)</f>
        <v>H801001</v>
      </c>
      <c r="G602" s="988" t="str">
        <f>VLOOKUP("Dammbalken 80/200 exkl. Dichtung, gesägt und entgratet",Sprachindex!$A:$Z,Haftungsausschluß!$O$6,FALSE) &amp; " (" &amp; ROUNDUP(C602/1000*7.78,2) &amp; " " &amp; VLOOKUP("kg/Stk",Sprachindex!$A:$Z,Haftungsausschluß!$O$6,FALSE) &amp; ")" &amp; IF('Kalkulation 1'!$AH$33," " &amp; 'Kalkulation 1'!$R$9,"")</f>
        <v>Dammbalken 80/200 exkl. Dichtung, gesägt und entgratet (0 kg/Stk)</v>
      </c>
      <c r="H602" s="989"/>
      <c r="I602" s="989"/>
      <c r="J602" s="989"/>
      <c r="K602" s="989"/>
      <c r="L602" s="989"/>
      <c r="M602" s="990"/>
      <c r="N602" s="313"/>
      <c r="O602" s="426">
        <f t="shared" si="22"/>
        <v>0</v>
      </c>
      <c r="P602" s="286"/>
    </row>
    <row r="603" spans="2:16" ht="32.1" hidden="1" customHeight="1">
      <c r="B603" s="556"/>
      <c r="C603" s="312">
        <v>0</v>
      </c>
      <c r="D603" s="317">
        <f t="shared" si="21"/>
        <v>0</v>
      </c>
      <c r="E603" s="318" t="str">
        <f>VLOOKUP("[m]",Sprachindex!$A:$Z,Haftungsausschluß!$O$6,FALSE)</f>
        <v>[m]</v>
      </c>
      <c r="F603" s="318" t="str">
        <f>IF($L$14=1,Preisliste!$E$16,Preisliste!$F$16)</f>
        <v>H801001</v>
      </c>
      <c r="G603" s="988" t="str">
        <f>VLOOKUP("Dammbalken 80/200 exkl. Dichtung, gesägt und entgratet",Sprachindex!$A:$Z,Haftungsausschluß!$O$6,FALSE) &amp; " (" &amp; ROUNDUP(C603/1000*7.78,2) &amp; " " &amp; VLOOKUP("kg/Stk",Sprachindex!$A:$Z,Haftungsausschluß!$O$6,FALSE) &amp; ")" &amp; IF('Kalkulation 1'!$AH$33," " &amp; 'Kalkulation 1'!$R$9,"")</f>
        <v>Dammbalken 80/200 exkl. Dichtung, gesägt und entgratet (0 kg/Stk)</v>
      </c>
      <c r="H603" s="989"/>
      <c r="I603" s="989"/>
      <c r="J603" s="989"/>
      <c r="K603" s="989"/>
      <c r="L603" s="989"/>
      <c r="M603" s="990"/>
      <c r="N603" s="313"/>
      <c r="O603" s="426">
        <f t="shared" si="22"/>
        <v>0</v>
      </c>
      <c r="P603" s="286"/>
    </row>
    <row r="604" spans="2:16" ht="32.1" hidden="1" customHeight="1">
      <c r="B604" s="556"/>
      <c r="C604" s="312">
        <v>0</v>
      </c>
      <c r="D604" s="317">
        <f t="shared" si="21"/>
        <v>0</v>
      </c>
      <c r="E604" s="318" t="str">
        <f>VLOOKUP("[m]",Sprachindex!$A:$Z,Haftungsausschluß!$O$6,FALSE)</f>
        <v>[m]</v>
      </c>
      <c r="F604" s="318" t="str">
        <f>IF($L$14=1,Preisliste!$E$16,Preisliste!$F$16)</f>
        <v>H801001</v>
      </c>
      <c r="G604" s="988" t="str">
        <f>VLOOKUP("Dammbalken 80/200 exkl. Dichtung, gesägt und entgratet",Sprachindex!$A:$Z,Haftungsausschluß!$O$6,FALSE) &amp; " (" &amp; ROUNDUP(C604/1000*7.78,2) &amp; " " &amp; VLOOKUP("kg/Stk",Sprachindex!$A:$Z,Haftungsausschluß!$O$6,FALSE) &amp; ")" &amp; IF('Kalkulation 1'!$AH$33," " &amp; 'Kalkulation 1'!$R$9,"")</f>
        <v>Dammbalken 80/200 exkl. Dichtung, gesägt und entgratet (0 kg/Stk)</v>
      </c>
      <c r="H604" s="989"/>
      <c r="I604" s="989"/>
      <c r="J604" s="989"/>
      <c r="K604" s="989"/>
      <c r="L604" s="989"/>
      <c r="M604" s="990"/>
      <c r="N604" s="313"/>
      <c r="O604" s="426">
        <f t="shared" si="22"/>
        <v>0</v>
      </c>
      <c r="P604" s="286"/>
    </row>
    <row r="605" spans="2:16" ht="32.1" hidden="1" customHeight="1">
      <c r="B605" s="556"/>
      <c r="C605" s="312">
        <v>0</v>
      </c>
      <c r="D605" s="317">
        <f t="shared" si="21"/>
        <v>0</v>
      </c>
      <c r="E605" s="318" t="str">
        <f>VLOOKUP("[m]",Sprachindex!$A:$Z,Haftungsausschluß!$O$6,FALSE)</f>
        <v>[m]</v>
      </c>
      <c r="F605" s="318" t="str">
        <f>IF($L$14=1,Preisliste!$E$16,Preisliste!$F$16)</f>
        <v>H801001</v>
      </c>
      <c r="G605" s="988" t="str">
        <f>VLOOKUP("Dammbalken 80/200 exkl. Dichtung, gesägt und entgratet",Sprachindex!$A:$Z,Haftungsausschluß!$O$6,FALSE) &amp; " (" &amp; ROUNDUP(C605/1000*7.78,2) &amp; " " &amp; VLOOKUP("kg/Stk",Sprachindex!$A:$Z,Haftungsausschluß!$O$6,FALSE) &amp; ")" &amp; IF('Kalkulation 1'!$AH$33," " &amp; 'Kalkulation 1'!$R$9,"")</f>
        <v>Dammbalken 80/200 exkl. Dichtung, gesägt und entgratet (0 kg/Stk)</v>
      </c>
      <c r="H605" s="989"/>
      <c r="I605" s="989"/>
      <c r="J605" s="989"/>
      <c r="K605" s="989"/>
      <c r="L605" s="989"/>
      <c r="M605" s="990"/>
      <c r="N605" s="313"/>
      <c r="O605" s="426">
        <f t="shared" si="22"/>
        <v>0</v>
      </c>
      <c r="P605" s="286"/>
    </row>
    <row r="606" spans="2:16" ht="32.1" hidden="1" customHeight="1">
      <c r="B606" s="556"/>
      <c r="C606" s="312">
        <v>0</v>
      </c>
      <c r="D606" s="317">
        <f t="shared" si="21"/>
        <v>0</v>
      </c>
      <c r="E606" s="318" t="str">
        <f>VLOOKUP("[m]",Sprachindex!$A:$Z,Haftungsausschluß!$O$6,FALSE)</f>
        <v>[m]</v>
      </c>
      <c r="F606" s="318" t="str">
        <f>IF($L$14=1,Preisliste!$E$16,Preisliste!$F$16)</f>
        <v>H801001</v>
      </c>
      <c r="G606" s="988" t="str">
        <f>VLOOKUP("Dammbalken 80/200 exkl. Dichtung, gesägt und entgratet",Sprachindex!$A:$Z,Haftungsausschluß!$O$6,FALSE) &amp; " (" &amp; ROUNDUP(C606/1000*7.78,2) &amp; " " &amp; VLOOKUP("kg/Stk",Sprachindex!$A:$Z,Haftungsausschluß!$O$6,FALSE) &amp; ")" &amp; IF('Kalkulation 1'!$AH$33," " &amp; 'Kalkulation 1'!$R$9,"")</f>
        <v>Dammbalken 80/200 exkl. Dichtung, gesägt und entgratet (0 kg/Stk)</v>
      </c>
      <c r="H606" s="989"/>
      <c r="I606" s="989"/>
      <c r="J606" s="989"/>
      <c r="K606" s="989"/>
      <c r="L606" s="989"/>
      <c r="M606" s="990"/>
      <c r="N606" s="313"/>
      <c r="O606" s="426">
        <f t="shared" si="22"/>
        <v>0</v>
      </c>
      <c r="P606" s="286"/>
    </row>
    <row r="607" spans="2:16" ht="32.1" hidden="1" customHeight="1">
      <c r="B607" s="611"/>
      <c r="C607" s="317"/>
      <c r="D607" s="612">
        <f t="shared" ref="D607:D608" si="23">B607</f>
        <v>0</v>
      </c>
      <c r="E607" s="318" t="str">
        <f>VLOOKUP("[EH]",Sprachindex!$A:$Z,Haftungsausschluß!$O$6,FALSE)</f>
        <v>[EH]</v>
      </c>
      <c r="F607" s="318" t="str">
        <f>IF($L$14=1,Preisliste!$E$169,Preisliste!$F$169)</f>
        <v>-</v>
      </c>
      <c r="G607" s="988" t="str">
        <f>VLOOKUP("Aufpreis Planungsstunde",Sprachindex!$A:$Z,Haftungsausschluß!$O$6,FALSE)</f>
        <v>Aufpreis Planungsstunde</v>
      </c>
      <c r="H607" s="989"/>
      <c r="I607" s="989"/>
      <c r="J607" s="989"/>
      <c r="K607" s="989"/>
      <c r="L607" s="989"/>
      <c r="M607" s="990"/>
      <c r="N607" s="511"/>
      <c r="O607" s="512">
        <f t="shared" ref="O607:O608" si="24">N607*D607</f>
        <v>0</v>
      </c>
      <c r="P607" s="286"/>
    </row>
    <row r="608" spans="2:16" ht="32.1" hidden="1" customHeight="1">
      <c r="B608" s="644"/>
      <c r="C608" s="416"/>
      <c r="D608" s="645">
        <f t="shared" si="23"/>
        <v>0</v>
      </c>
      <c r="E608" s="417" t="str">
        <f>VLOOKUP("[Stk]",Sprachindex!$A:$Z,Haftungsausschluß!$O$6,FALSE)</f>
        <v>[Stk]</v>
      </c>
      <c r="F608" s="417" t="s">
        <v>3773</v>
      </c>
      <c r="G608" s="1001" t="str">
        <f>VLOOKUP("Dichtungsroller 80",Sprachindex!$A:$Z,Haftungsausschluß!$O$6,FALSE)</f>
        <v>Dichtungsroller 80</v>
      </c>
      <c r="H608" s="1002"/>
      <c r="I608" s="1002"/>
      <c r="J608" s="1002"/>
      <c r="K608" s="1002"/>
      <c r="L608" s="1002"/>
      <c r="M608" s="1003"/>
      <c r="N608" s="313"/>
      <c r="O608" s="426">
        <f t="shared" si="24"/>
        <v>0</v>
      </c>
      <c r="P608" s="324"/>
    </row>
    <row r="609" spans="2:16" ht="32.1" hidden="1" customHeight="1">
      <c r="B609" s="644"/>
      <c r="C609" s="416"/>
      <c r="D609" s="645">
        <f t="shared" ref="D609:D610" si="25">B609</f>
        <v>0</v>
      </c>
      <c r="E609" s="318" t="str">
        <f>VLOOKUP("Pa",Sprachindex!$A:$Z,Haftungsausschluß!$O$6,FALSE)</f>
        <v>Pa</v>
      </c>
      <c r="F609" s="417" t="s">
        <v>3773</v>
      </c>
      <c r="G609" s="994" t="str">
        <f>VLOOKUP("Montagematerial",Sprachindex!$A:$Z,Haftungsausschluß!$O$6,FALSE)</f>
        <v>Montagematerial</v>
      </c>
      <c r="H609" s="994"/>
      <c r="I609" s="994"/>
      <c r="J609" s="994"/>
      <c r="K609" s="994"/>
      <c r="L609" s="994"/>
      <c r="M609" s="994"/>
      <c r="N609" s="313"/>
      <c r="O609" s="426">
        <f t="shared" ref="O609:O610" si="26">N609*D609</f>
        <v>0</v>
      </c>
      <c r="P609" s="324"/>
    </row>
    <row r="610" spans="2:16" ht="32.1" hidden="1" customHeight="1">
      <c r="B610" s="644"/>
      <c r="C610" s="416"/>
      <c r="D610" s="645">
        <f t="shared" si="25"/>
        <v>0</v>
      </c>
      <c r="E610" s="318" t="str">
        <f>VLOOKUP("Pa",Sprachindex!$A:$Z,Haftungsausschluß!$O$6,FALSE)</f>
        <v>Pa</v>
      </c>
      <c r="F610" s="417" t="s">
        <v>3773</v>
      </c>
      <c r="G610" s="994" t="str">
        <f>VLOOKUP("Montage",Sprachindex!$A:$Z,Haftungsausschluß!$O$6,FALSE)</f>
        <v>Montage</v>
      </c>
      <c r="H610" s="994"/>
      <c r="I610" s="994"/>
      <c r="J610" s="994"/>
      <c r="K610" s="994"/>
      <c r="L610" s="994"/>
      <c r="M610" s="994"/>
      <c r="N610" s="313"/>
      <c r="O610" s="426">
        <f t="shared" si="26"/>
        <v>0</v>
      </c>
      <c r="P610" s="324"/>
    </row>
    <row r="611" spans="2:16" ht="32.1" hidden="1" customHeight="1">
      <c r="B611" s="611"/>
      <c r="C611" s="317"/>
      <c r="D611" s="612">
        <f t="shared" ref="D611" si="27">B611</f>
        <v>0</v>
      </c>
      <c r="E611" s="318" t="str">
        <f>VLOOKUP("Pa",Sprachindex!$A:$Z,Haftungsausschluß!$O$6,FALSE)</f>
        <v>Pa</v>
      </c>
      <c r="F611" s="318" t="s">
        <v>3773</v>
      </c>
      <c r="G611" s="994" t="str">
        <f>VLOOKUP("Fahrtkosten",Sprachindex!$A:$Z,Haftungsausschluß!$O$6,FALSE)</f>
        <v>Fahrtkosten</v>
      </c>
      <c r="H611" s="994"/>
      <c r="I611" s="994"/>
      <c r="J611" s="994"/>
      <c r="K611" s="994"/>
      <c r="L611" s="994"/>
      <c r="M611" s="994"/>
      <c r="N611" s="511"/>
      <c r="O611" s="512">
        <f t="shared" ref="O611" si="28">N611*D611</f>
        <v>0</v>
      </c>
      <c r="P611" s="324"/>
    </row>
    <row r="612" spans="2:16" ht="32.1" hidden="1" customHeight="1">
      <c r="B612" s="692"/>
      <c r="C612" s="693"/>
      <c r="D612" s="694"/>
      <c r="E612" s="695"/>
      <c r="F612" s="695"/>
      <c r="G612" s="996"/>
      <c r="H612" s="996"/>
      <c r="I612" s="996"/>
      <c r="J612" s="996"/>
      <c r="K612" s="996"/>
      <c r="L612" s="996"/>
      <c r="M612" s="996"/>
      <c r="N612" s="696"/>
      <c r="O612" s="697"/>
      <c r="P612" s="324"/>
    </row>
    <row r="613" spans="2:16" ht="32.1" hidden="1" customHeight="1">
      <c r="B613" s="615"/>
      <c r="C613" s="523"/>
      <c r="D613" s="612">
        <f t="shared" ref="D613:D667" si="29">B613</f>
        <v>0</v>
      </c>
      <c r="E613" s="318" t="str">
        <f>VLOOKUP("[Stk]",Sprachindex!$A:$Z,Haftungsausschluß!$O$6,FALSE)</f>
        <v>[Stk]</v>
      </c>
      <c r="F613" s="318" t="s">
        <v>3865</v>
      </c>
      <c r="G613" s="994" t="s">
        <v>3901</v>
      </c>
      <c r="H613" s="994"/>
      <c r="I613" s="994"/>
      <c r="J613" s="994"/>
      <c r="K613" s="994"/>
      <c r="L613" s="994"/>
      <c r="M613" s="994"/>
      <c r="N613" s="313"/>
      <c r="O613" s="512">
        <f t="shared" ref="O613:O658" si="30">N613*D613</f>
        <v>0</v>
      </c>
      <c r="P613" s="324"/>
    </row>
    <row r="614" spans="2:16" ht="32.1" hidden="1" customHeight="1">
      <c r="B614" s="615"/>
      <c r="C614" s="523"/>
      <c r="D614" s="612">
        <f t="shared" si="29"/>
        <v>0</v>
      </c>
      <c r="E614" s="318" t="str">
        <f>VLOOKUP("[Stk]",Sprachindex!$A:$Z,Haftungsausschluß!$O$6,FALSE)</f>
        <v>[Stk]</v>
      </c>
      <c r="F614" s="318" t="s">
        <v>3866</v>
      </c>
      <c r="G614" s="994" t="s">
        <v>3902</v>
      </c>
      <c r="H614" s="994"/>
      <c r="I614" s="994"/>
      <c r="J614" s="994"/>
      <c r="K614" s="994"/>
      <c r="L614" s="994"/>
      <c r="M614" s="994"/>
      <c r="N614" s="313"/>
      <c r="O614" s="426">
        <f t="shared" si="30"/>
        <v>0</v>
      </c>
      <c r="P614" s="324"/>
    </row>
    <row r="615" spans="2:16" ht="32.1" hidden="1" customHeight="1">
      <c r="B615" s="615"/>
      <c r="C615" s="664">
        <v>1750</v>
      </c>
      <c r="D615" s="612">
        <f t="shared" si="29"/>
        <v>0</v>
      </c>
      <c r="E615" s="318" t="str">
        <f>VLOOKUP("[Stk]",Sprachindex!$A:$Z,Haftungsausschluß!$O$6,FALSE)</f>
        <v>[Stk]</v>
      </c>
      <c r="F615" s="318" t="str">
        <f>IF($L$14=1,Preisliste!$E186,Preisliste!$F186)</f>
        <v>H251022</v>
      </c>
      <c r="G615" s="994" t="str">
        <f>VLOOKUP("U-Profil 25 exkl. Dichtung, gebohrt und entgratet",Sprachindex!$A:$Z,Haftungsausschluß!$O$6,FALSE) &amp; IF('Kalkulation 1'!AH553," " &amp; 'Kalkulation 1'!R528,"") &amp; IF('Kalkulation 1'!$AH$34," " &amp; 'Kalkulation 1'!$R$9,"")</f>
        <v>U-Profil 25 exkl. Dichtung, gebohrt und entgratet</v>
      </c>
      <c r="H615" s="994"/>
      <c r="I615" s="994"/>
      <c r="J615" s="994"/>
      <c r="K615" s="994"/>
      <c r="L615" s="994"/>
      <c r="M615" s="994"/>
      <c r="N615" s="313"/>
      <c r="O615" s="426">
        <f t="shared" si="30"/>
        <v>0</v>
      </c>
      <c r="P615" s="324"/>
    </row>
    <row r="616" spans="2:16" ht="32.1" hidden="1" customHeight="1">
      <c r="B616" s="615"/>
      <c r="C616" s="664">
        <v>2150</v>
      </c>
      <c r="D616" s="612">
        <f t="shared" si="29"/>
        <v>0</v>
      </c>
      <c r="E616" s="318" t="str">
        <f>VLOOKUP("[Stk]",Sprachindex!$A:$Z,Haftungsausschluß!$O$6,FALSE)</f>
        <v>[Stk]</v>
      </c>
      <c r="F616" s="318" t="str">
        <f>IF($L$14=1,Preisliste!$E187,Preisliste!$F187)</f>
        <v>H251023</v>
      </c>
      <c r="G616" s="994" t="str">
        <f>VLOOKUP("U-Profil 25 exkl. Dichtung, gebohrt und entgratet",Sprachindex!$A:$Z,Haftungsausschluß!$O$6,FALSE) &amp; IF('Kalkulation 1'!AH553," " &amp; 'Kalkulation 1'!R528,"") &amp; IF('Kalkulation 1'!$AH$34," " &amp; 'Kalkulation 1'!$R$9,"")</f>
        <v>U-Profil 25 exkl. Dichtung, gebohrt und entgratet</v>
      </c>
      <c r="H616" s="994"/>
      <c r="I616" s="994"/>
      <c r="J616" s="994"/>
      <c r="K616" s="994"/>
      <c r="L616" s="994"/>
      <c r="M616" s="994"/>
      <c r="N616" s="313"/>
      <c r="O616" s="426">
        <f t="shared" si="30"/>
        <v>0</v>
      </c>
      <c r="P616" s="324"/>
    </row>
    <row r="617" spans="2:16" ht="32.1" hidden="1" customHeight="1">
      <c r="B617" s="615"/>
      <c r="C617" s="664">
        <v>1750</v>
      </c>
      <c r="D617" s="612">
        <f t="shared" si="29"/>
        <v>0</v>
      </c>
      <c r="E617" s="318" t="str">
        <f>VLOOKUP("[Stk]",Sprachindex!$A:$Z,Haftungsausschluß!$O$6,FALSE)</f>
        <v>[Stk]</v>
      </c>
      <c r="F617" s="318" t="str">
        <f>IF($L$14=1,Preisliste!$E190,Preisliste!$F190)</f>
        <v>H251202</v>
      </c>
      <c r="G617" s="994" t="str">
        <f>VLOOKUP("Grundprofil 25 exkl. Dichtung, gebohrt und entgratet",Sprachindex!$A:$Z,Haftungsausschluß!$O$6,FALSE) &amp; IF('Kalkulation 1'!AH552," " &amp; 'Kalkulation 1'!R527,"") &amp; IF('Kalkulation 1'!$AH$34," " &amp; 'Kalkulation 1'!$R$9,"")</f>
        <v>Grundprofil 25 exkl. Dichtung, gebohrt und entgratet</v>
      </c>
      <c r="H617" s="994"/>
      <c r="I617" s="994"/>
      <c r="J617" s="994"/>
      <c r="K617" s="994"/>
      <c r="L617" s="994"/>
      <c r="M617" s="994"/>
      <c r="N617" s="313"/>
      <c r="O617" s="426">
        <f t="shared" si="30"/>
        <v>0</v>
      </c>
      <c r="P617" s="324"/>
    </row>
    <row r="618" spans="2:16" ht="32.1" hidden="1" customHeight="1">
      <c r="B618" s="615"/>
      <c r="C618" s="664">
        <v>2150</v>
      </c>
      <c r="D618" s="612">
        <f t="shared" si="29"/>
        <v>0</v>
      </c>
      <c r="E618" s="318" t="str">
        <f>VLOOKUP("[Stk]",Sprachindex!$A:$Z,Haftungsausschluß!$O$6,FALSE)</f>
        <v>[Stk]</v>
      </c>
      <c r="F618" s="318" t="str">
        <f>IF($L$14=1,Preisliste!$E191,Preisliste!$F191)</f>
        <v>H251203</v>
      </c>
      <c r="G618" s="994" t="str">
        <f>VLOOKUP("Grundprofil 25 exkl. Dichtung, gebohrt und entgratet",Sprachindex!$A:$Z,Haftungsausschluß!$O$6,FALSE) &amp; IF('Kalkulation 1'!AH552," " &amp; 'Kalkulation 1'!R527,"") &amp; IF('Kalkulation 1'!$AH$34," " &amp; 'Kalkulation 1'!$R$9,"")</f>
        <v>Grundprofil 25 exkl. Dichtung, gebohrt und entgratet</v>
      </c>
      <c r="H618" s="994"/>
      <c r="I618" s="994"/>
      <c r="J618" s="994"/>
      <c r="K618" s="994"/>
      <c r="L618" s="994"/>
      <c r="M618" s="994"/>
      <c r="N618" s="313"/>
      <c r="O618" s="426">
        <f t="shared" si="30"/>
        <v>0</v>
      </c>
      <c r="P618" s="324"/>
    </row>
    <row r="619" spans="2:16" ht="32.1" hidden="1" customHeight="1">
      <c r="B619" s="615"/>
      <c r="C619" s="664">
        <v>1750</v>
      </c>
      <c r="D619" s="612">
        <f t="shared" si="29"/>
        <v>0</v>
      </c>
      <c r="E619" s="318" t="str">
        <f>VLOOKUP("[Stk]",Sprachindex!$A:$Z,Haftungsausschluß!$O$6,FALSE)</f>
        <v>[Stk]</v>
      </c>
      <c r="F619" s="318" t="str">
        <f>IF($L$14=1,Preisliste!$E182,Preisliste!$F182)</f>
        <v>H251042</v>
      </c>
      <c r="G619" s="994" t="str">
        <f>"Abdeckung  V 25-1750mm"  &amp; IF('Kalkulation 1'!$AH$35," " &amp; 'Kalkulation 1'!$R$9,"")</f>
        <v>Abdeckung  V 25-1750mm</v>
      </c>
      <c r="H619" s="994"/>
      <c r="I619" s="994"/>
      <c r="J619" s="994"/>
      <c r="K619" s="994"/>
      <c r="L619" s="994"/>
      <c r="M619" s="994"/>
      <c r="N619" s="313"/>
      <c r="O619" s="426">
        <f t="shared" si="30"/>
        <v>0</v>
      </c>
      <c r="P619" s="324"/>
    </row>
    <row r="620" spans="2:16" ht="32.1" hidden="1" customHeight="1">
      <c r="B620" s="615"/>
      <c r="C620" s="664">
        <v>2150</v>
      </c>
      <c r="D620" s="612">
        <f t="shared" si="29"/>
        <v>0</v>
      </c>
      <c r="E620" s="318" t="str">
        <f>VLOOKUP("[Stk]",Sprachindex!$A:$Z,Haftungsausschluß!$O$6,FALSE)</f>
        <v>[Stk]</v>
      </c>
      <c r="F620" s="318" t="str">
        <f>IF($L$14=1,Preisliste!$E183,Preisliste!$F183)</f>
        <v>H251043</v>
      </c>
      <c r="G620" s="994" t="str">
        <f>"Abdeckung  V 25-2150mm"  &amp; IF('Kalkulation 1'!$AH$35," " &amp; 'Kalkulation 1'!$R$9,"")</f>
        <v>Abdeckung  V 25-2150mm</v>
      </c>
      <c r="H620" s="994"/>
      <c r="I620" s="994"/>
      <c r="J620" s="994"/>
      <c r="K620" s="994"/>
      <c r="L620" s="994"/>
      <c r="M620" s="994"/>
      <c r="N620" s="313"/>
      <c r="O620" s="426">
        <f t="shared" si="30"/>
        <v>0</v>
      </c>
      <c r="P620" s="324"/>
    </row>
    <row r="621" spans="2:16" ht="32.1" hidden="1" customHeight="1">
      <c r="B621" s="615"/>
      <c r="C621" s="664">
        <v>1750</v>
      </c>
      <c r="D621" s="612">
        <f t="shared" si="29"/>
        <v>0</v>
      </c>
      <c r="E621" s="318" t="str">
        <f>VLOOKUP("[Stk]",Sprachindex!$A:$Z,Haftungsausschluß!$O$6,FALSE)</f>
        <v>[Stk]</v>
      </c>
      <c r="F621" s="318" t="str">
        <f>IF($L$14=1,Preisliste!$E178,Preisliste!$F178)</f>
        <v>H251052</v>
      </c>
      <c r="G621" s="994" t="str">
        <f>"Abdeckung  VO 25-1750mm"  &amp; IF('Kalkulation 1'!$AH$35," " &amp; 'Kalkulation 1'!$R$9,"")</f>
        <v>Abdeckung  VO 25-1750mm</v>
      </c>
      <c r="H621" s="994"/>
      <c r="I621" s="994"/>
      <c r="J621" s="994"/>
      <c r="K621" s="994"/>
      <c r="L621" s="994"/>
      <c r="M621" s="994"/>
      <c r="N621" s="313"/>
      <c r="O621" s="426">
        <f t="shared" si="30"/>
        <v>0</v>
      </c>
      <c r="P621" s="324"/>
    </row>
    <row r="622" spans="2:16" ht="32.1" hidden="1" customHeight="1">
      <c r="B622" s="615"/>
      <c r="C622" s="664">
        <v>2150</v>
      </c>
      <c r="D622" s="612">
        <f t="shared" si="29"/>
        <v>0</v>
      </c>
      <c r="E622" s="318" t="str">
        <f>VLOOKUP("[Stk]",Sprachindex!$A:$Z,Haftungsausschluß!$O$6,FALSE)</f>
        <v>[Stk]</v>
      </c>
      <c r="F622" s="318" t="str">
        <f>IF($L$14=1,Preisliste!$E179,Preisliste!$F179)</f>
        <v>H251043</v>
      </c>
      <c r="G622" s="994" t="str">
        <f>"Abdeckung  VO 25-2150mm"  &amp; IF('Kalkulation 1'!$AH$35," " &amp; 'Kalkulation 1'!$R$9,"")</f>
        <v>Abdeckung  VO 25-2150mm</v>
      </c>
      <c r="H622" s="994"/>
      <c r="I622" s="994"/>
      <c r="J622" s="994"/>
      <c r="K622" s="994"/>
      <c r="L622" s="994"/>
      <c r="M622" s="994"/>
      <c r="N622" s="313"/>
      <c r="O622" s="426">
        <f t="shared" si="30"/>
        <v>0</v>
      </c>
      <c r="P622" s="324"/>
    </row>
    <row r="623" spans="2:16" ht="32.1" hidden="1" customHeight="1">
      <c r="B623" s="615"/>
      <c r="C623" s="664">
        <v>750</v>
      </c>
      <c r="D623" s="612">
        <f t="shared" si="29"/>
        <v>0</v>
      </c>
      <c r="E623" s="318" t="str">
        <f>VLOOKUP("[Stk]",Sprachindex!$A:$Z,Haftungsausschluß!$O$6,FALSE)</f>
        <v>[Stk]</v>
      </c>
      <c r="F623" s="318" t="str">
        <f>IF($L$14=1,Preisliste!$E200,Preisliste!$F200)</f>
        <v>H801610</v>
      </c>
      <c r="G623" s="988" t="str">
        <f>VLOOKUP("Steher VARIO 15° 80-750 mm (Anfertigung auf Bestellung)",Sprachindex!$A:$Z,Haftungsausschluß!$O$6,FALSE)</f>
        <v>Steher VARIO 15° 80-750 mm (Anfertigung auf Bestellung)</v>
      </c>
      <c r="H623" s="989"/>
      <c r="I623" s="989"/>
      <c r="J623" s="989"/>
      <c r="K623" s="989"/>
      <c r="L623" s="989"/>
      <c r="M623" s="990"/>
      <c r="N623" s="313"/>
      <c r="O623" s="426">
        <f t="shared" si="30"/>
        <v>0</v>
      </c>
      <c r="P623" s="324"/>
    </row>
    <row r="624" spans="2:16" ht="32.1" hidden="1" customHeight="1">
      <c r="B624" s="615"/>
      <c r="C624" s="664">
        <v>1350</v>
      </c>
      <c r="D624" s="612">
        <f t="shared" si="29"/>
        <v>0</v>
      </c>
      <c r="E624" s="318" t="str">
        <f>VLOOKUP("[Stk]",Sprachindex!$A:$Z,Haftungsausschluß!$O$6,FALSE)</f>
        <v>[Stk]</v>
      </c>
      <c r="F624" s="318" t="str">
        <f>IF($L$14=1,Preisliste!$E201,Preisliste!$F201)</f>
        <v>H801611</v>
      </c>
      <c r="G624" s="988" t="str">
        <f>VLOOKUP("Steher VARIO 15° 80-1350 mm (Anfertigung auf Bestellung)",Sprachindex!$A:$Z,Haftungsausschluß!$O$6,FALSE)</f>
        <v>Steher VARIO 15° 80-1350 mm (Anfertigung auf Bestellung)</v>
      </c>
      <c r="H624" s="989"/>
      <c r="I624" s="989"/>
      <c r="J624" s="989"/>
      <c r="K624" s="989"/>
      <c r="L624" s="989"/>
      <c r="M624" s="990"/>
      <c r="N624" s="313"/>
      <c r="O624" s="426">
        <f t="shared" si="30"/>
        <v>0</v>
      </c>
      <c r="P624" s="324"/>
    </row>
    <row r="625" spans="2:16" ht="32.1" hidden="1" customHeight="1">
      <c r="B625" s="615"/>
      <c r="C625" s="664">
        <v>1750</v>
      </c>
      <c r="D625" s="612">
        <f t="shared" si="29"/>
        <v>0</v>
      </c>
      <c r="E625" s="318" t="str">
        <f>VLOOKUP("[Stk]",Sprachindex!$A:$Z,Haftungsausschluß!$O$6,FALSE)</f>
        <v>[Stk]</v>
      </c>
      <c r="F625" s="318" t="str">
        <f>IF($L$14=1,Preisliste!$E202,Preisliste!$F202)</f>
        <v>H801612</v>
      </c>
      <c r="G625" s="988" t="str">
        <f>VLOOKUP("Steher VARIO 15° 80-1750 mm (Anfertigung auf Bestellung)",Sprachindex!$A:$Z,Haftungsausschluß!$O$6,FALSE)</f>
        <v>Steher VARIO 15° 80-1750 mm (Anfertigung auf Bestellung)</v>
      </c>
      <c r="H625" s="989"/>
      <c r="I625" s="989"/>
      <c r="J625" s="989"/>
      <c r="K625" s="989"/>
      <c r="L625" s="989"/>
      <c r="M625" s="990"/>
      <c r="N625" s="313"/>
      <c r="O625" s="426">
        <f t="shared" si="30"/>
        <v>0</v>
      </c>
      <c r="P625" s="324"/>
    </row>
    <row r="626" spans="2:16" ht="32.1" hidden="1" customHeight="1">
      <c r="B626" s="615"/>
      <c r="C626" s="664">
        <v>2150</v>
      </c>
      <c r="D626" s="612">
        <f t="shared" si="29"/>
        <v>0</v>
      </c>
      <c r="E626" s="318" t="str">
        <f>VLOOKUP("[Stk]",Sprachindex!$A:$Z,Haftungsausschluß!$O$6,FALSE)</f>
        <v>[Stk]</v>
      </c>
      <c r="F626" s="318" t="str">
        <f>IF($L$14=1,Preisliste!$E203,Preisliste!$F203)</f>
        <v>H801613</v>
      </c>
      <c r="G626" s="988" t="str">
        <f>VLOOKUP("Steher VARIO 15° 80-2150 mm (Anfertigung auf Bestellung)",Sprachindex!$A:$Z,Haftungsausschluß!$O$6,FALSE)</f>
        <v>Steher VARIO 15° 80-2150 mm (Anfertigung auf Bestellung)</v>
      </c>
      <c r="H626" s="989"/>
      <c r="I626" s="989"/>
      <c r="J626" s="989"/>
      <c r="K626" s="989"/>
      <c r="L626" s="989"/>
      <c r="M626" s="990"/>
      <c r="N626" s="313"/>
      <c r="O626" s="426">
        <f t="shared" si="30"/>
        <v>0</v>
      </c>
      <c r="P626" s="324"/>
    </row>
    <row r="627" spans="2:16" ht="32.1" hidden="1" customHeight="1">
      <c r="B627" s="615"/>
      <c r="C627" s="664">
        <v>750</v>
      </c>
      <c r="D627" s="612">
        <f t="shared" si="29"/>
        <v>0</v>
      </c>
      <c r="E627" s="318" t="str">
        <f>VLOOKUP("[Stk]",Sprachindex!$A:$Z,Haftungsausschluß!$O$6,FALSE)</f>
        <v>[Stk]</v>
      </c>
      <c r="F627" s="318" t="str">
        <f>IF($L$14=1,Preisliste!$E204,Preisliste!$F204)</f>
        <v>H801620</v>
      </c>
      <c r="G627" s="988" t="str">
        <f>VLOOKUP("Steher VARIO 30° 80-750 mm (Anfertigung auf Bestellung)",Sprachindex!$A:$Z,Haftungsausschluß!$O$6,FALSE)</f>
        <v>Steher VARIO 30° 80-750 mm (Anfertigung auf Bestellung)</v>
      </c>
      <c r="H627" s="989"/>
      <c r="I627" s="989"/>
      <c r="J627" s="989"/>
      <c r="K627" s="989"/>
      <c r="L627" s="989"/>
      <c r="M627" s="990"/>
      <c r="N627" s="313"/>
      <c r="O627" s="426">
        <f t="shared" si="30"/>
        <v>0</v>
      </c>
      <c r="P627" s="324"/>
    </row>
    <row r="628" spans="2:16" ht="32.1" hidden="1" customHeight="1">
      <c r="B628" s="615"/>
      <c r="C628" s="664">
        <v>1350</v>
      </c>
      <c r="D628" s="612">
        <f t="shared" si="29"/>
        <v>0</v>
      </c>
      <c r="E628" s="318" t="str">
        <f>VLOOKUP("[Stk]",Sprachindex!$A:$Z,Haftungsausschluß!$O$6,FALSE)</f>
        <v>[Stk]</v>
      </c>
      <c r="F628" s="318" t="str">
        <f>IF($L$14=1,Preisliste!$E205,Preisliste!$F205)</f>
        <v>H801621</v>
      </c>
      <c r="G628" s="988" t="str">
        <f>VLOOKUP("Steher VARIO 30° 80-1350 mm (Anfertigung auf Bestellung)",Sprachindex!$A:$Z,Haftungsausschluß!$O$6,FALSE)</f>
        <v>Steher VARIO 30° 80-1350 mm (Anfertigung auf Bestellung)</v>
      </c>
      <c r="H628" s="989"/>
      <c r="I628" s="989"/>
      <c r="J628" s="989"/>
      <c r="K628" s="989"/>
      <c r="L628" s="989"/>
      <c r="M628" s="990"/>
      <c r="N628" s="313"/>
      <c r="O628" s="426">
        <f t="shared" si="30"/>
        <v>0</v>
      </c>
      <c r="P628" s="324"/>
    </row>
    <row r="629" spans="2:16" ht="32.1" hidden="1" customHeight="1">
      <c r="B629" s="615"/>
      <c r="C629" s="664">
        <v>1750</v>
      </c>
      <c r="D629" s="612">
        <f t="shared" si="29"/>
        <v>0</v>
      </c>
      <c r="E629" s="318" t="str">
        <f>VLOOKUP("[Stk]",Sprachindex!$A:$Z,Haftungsausschluß!$O$6,FALSE)</f>
        <v>[Stk]</v>
      </c>
      <c r="F629" s="318" t="str">
        <f>IF($L$14=1,Preisliste!$E206,Preisliste!$F206)</f>
        <v>H801622</v>
      </c>
      <c r="G629" s="988" t="str">
        <f>VLOOKUP("Steher VARIO 30° 80-1750 mm (Anfertigung auf Bestellung)",Sprachindex!$A:$Z,Haftungsausschluß!$O$6,FALSE)</f>
        <v>Steher VARIO 30° 80-1750 mm (Anfertigung auf Bestellung)</v>
      </c>
      <c r="H629" s="989"/>
      <c r="I629" s="989"/>
      <c r="J629" s="989"/>
      <c r="K629" s="989"/>
      <c r="L629" s="989"/>
      <c r="M629" s="990"/>
      <c r="N629" s="313"/>
      <c r="O629" s="426">
        <f t="shared" si="30"/>
        <v>0</v>
      </c>
      <c r="P629" s="324"/>
    </row>
    <row r="630" spans="2:16" ht="32.1" hidden="1" customHeight="1">
      <c r="B630" s="615"/>
      <c r="C630" s="664">
        <v>2150</v>
      </c>
      <c r="D630" s="612">
        <f t="shared" si="29"/>
        <v>0</v>
      </c>
      <c r="E630" s="318" t="str">
        <f>VLOOKUP("[Stk]",Sprachindex!$A:$Z,Haftungsausschluß!$O$6,FALSE)</f>
        <v>[Stk]</v>
      </c>
      <c r="F630" s="318" t="str">
        <f>IF($L$14=1,Preisliste!$E207,Preisliste!$F207)</f>
        <v>H801623</v>
      </c>
      <c r="G630" s="988" t="str">
        <f>VLOOKUP("Steher VARIO 30° 80-2150 mm (Anfertigung auf Bestellung)",Sprachindex!$A:$Z,Haftungsausschluß!$O$6,FALSE)</f>
        <v>Steher VARIO 30° 80-2150 mm (Anfertigung auf Bestellung)</v>
      </c>
      <c r="H630" s="989"/>
      <c r="I630" s="989"/>
      <c r="J630" s="989"/>
      <c r="K630" s="989"/>
      <c r="L630" s="989"/>
      <c r="M630" s="990"/>
      <c r="N630" s="313"/>
      <c r="O630" s="426">
        <f t="shared" si="30"/>
        <v>0</v>
      </c>
      <c r="P630" s="324"/>
    </row>
    <row r="631" spans="2:16" ht="32.1" hidden="1" customHeight="1">
      <c r="B631" s="615"/>
      <c r="C631" s="664">
        <v>750</v>
      </c>
      <c r="D631" s="612">
        <f t="shared" si="29"/>
        <v>0</v>
      </c>
      <c r="E631" s="318" t="str">
        <f>VLOOKUP("[Stk]",Sprachindex!$A:$Z,Haftungsausschluß!$O$6,FALSE)</f>
        <v>[Stk]</v>
      </c>
      <c r="F631" s="318" t="str">
        <f>IF($L$14=1,Preisliste!$E208,Preisliste!$F208)</f>
        <v>H801630</v>
      </c>
      <c r="G631" s="988" t="str">
        <f>VLOOKUP("Steher VARIO 45° 80-750 mm (Anfertigung auf Bestellung)",Sprachindex!$A:$Z,Haftungsausschluß!$O$6,FALSE)</f>
        <v>Steher VARIO 45° 80-750 mm (Anfertigung auf Bestellung)</v>
      </c>
      <c r="H631" s="989"/>
      <c r="I631" s="989"/>
      <c r="J631" s="989"/>
      <c r="K631" s="989"/>
      <c r="L631" s="989"/>
      <c r="M631" s="990"/>
      <c r="N631" s="313"/>
      <c r="O631" s="426">
        <f t="shared" si="30"/>
        <v>0</v>
      </c>
      <c r="P631" s="324"/>
    </row>
    <row r="632" spans="2:16" ht="32.1" hidden="1" customHeight="1">
      <c r="B632" s="615"/>
      <c r="C632" s="664">
        <v>1350</v>
      </c>
      <c r="D632" s="612">
        <f t="shared" si="29"/>
        <v>0</v>
      </c>
      <c r="E632" s="318" t="str">
        <f>VLOOKUP("[Stk]",Sprachindex!$A:$Z,Haftungsausschluß!$O$6,FALSE)</f>
        <v>[Stk]</v>
      </c>
      <c r="F632" s="318" t="str">
        <f>IF($L$14=1,Preisliste!$E209,Preisliste!$F209)</f>
        <v>H801631</v>
      </c>
      <c r="G632" s="988" t="str">
        <f>VLOOKUP("Steher VARIO 45° 80-1350 mm (Anfertigung auf Bestellung)",Sprachindex!$A:$Z,Haftungsausschluß!$O$6,FALSE)</f>
        <v>Steher VARIO 45° 80-1350 mm (Anfertigung auf Bestellung)</v>
      </c>
      <c r="H632" s="989"/>
      <c r="I632" s="989"/>
      <c r="J632" s="989"/>
      <c r="K632" s="989"/>
      <c r="L632" s="989"/>
      <c r="M632" s="990"/>
      <c r="N632" s="313"/>
      <c r="O632" s="426">
        <f t="shared" si="30"/>
        <v>0</v>
      </c>
      <c r="P632" s="324"/>
    </row>
    <row r="633" spans="2:16" ht="32.1" hidden="1" customHeight="1">
      <c r="B633" s="615"/>
      <c r="C633" s="664">
        <v>1750</v>
      </c>
      <c r="D633" s="612">
        <f t="shared" si="29"/>
        <v>0</v>
      </c>
      <c r="E633" s="318" t="str">
        <f>VLOOKUP("[Stk]",Sprachindex!$A:$Z,Haftungsausschluß!$O$6,FALSE)</f>
        <v>[Stk]</v>
      </c>
      <c r="F633" s="318" t="str">
        <f>IF($L$14=1,Preisliste!$E210,Preisliste!$F210)</f>
        <v>H801632</v>
      </c>
      <c r="G633" s="988" t="str">
        <f>VLOOKUP("Steher VARIO 45° 80-1750 mm (Anfertigung auf Bestellung)",Sprachindex!$A:$Z,Haftungsausschluß!$O$6,FALSE)</f>
        <v>Steher VARIO 45° 80-1750 mm (Anfertigung auf Bestellung)</v>
      </c>
      <c r="H633" s="989"/>
      <c r="I633" s="989"/>
      <c r="J633" s="989"/>
      <c r="K633" s="989"/>
      <c r="L633" s="989"/>
      <c r="M633" s="990"/>
      <c r="N633" s="313"/>
      <c r="O633" s="426">
        <f t="shared" si="30"/>
        <v>0</v>
      </c>
      <c r="P633" s="324"/>
    </row>
    <row r="634" spans="2:16" ht="32.1" hidden="1" customHeight="1">
      <c r="B634" s="615"/>
      <c r="C634" s="664">
        <v>2150</v>
      </c>
      <c r="D634" s="612">
        <f t="shared" si="29"/>
        <v>0</v>
      </c>
      <c r="E634" s="318" t="str">
        <f>VLOOKUP("[Stk]",Sprachindex!$A:$Z,Haftungsausschluß!$O$6,FALSE)</f>
        <v>[Stk]</v>
      </c>
      <c r="F634" s="318" t="str">
        <f>IF($L$14=1,Preisliste!$E211,Preisliste!$F211)</f>
        <v>H801633</v>
      </c>
      <c r="G634" s="988" t="str">
        <f>VLOOKUP("Steher VARIO 45° 80-2150 mm (Anfertigung auf Bestellung)",Sprachindex!$A:$Z,Haftungsausschluß!$O$6,FALSE)</f>
        <v>Steher VARIO 45° 80-2150 mm (Anfertigung auf Bestellung)</v>
      </c>
      <c r="H634" s="989"/>
      <c r="I634" s="989"/>
      <c r="J634" s="989"/>
      <c r="K634" s="989"/>
      <c r="L634" s="989"/>
      <c r="M634" s="990"/>
      <c r="N634" s="313"/>
      <c r="O634" s="426">
        <f t="shared" si="30"/>
        <v>0</v>
      </c>
      <c r="P634" s="324"/>
    </row>
    <row r="635" spans="2:16" ht="32.1" hidden="1" customHeight="1">
      <c r="B635" s="615"/>
      <c r="C635" s="664">
        <v>750</v>
      </c>
      <c r="D635" s="612">
        <f t="shared" si="29"/>
        <v>0</v>
      </c>
      <c r="E635" s="318" t="str">
        <f>VLOOKUP("[Stk]",Sprachindex!$A:$Z,Haftungsausschluß!$O$6,FALSE)</f>
        <v>[Stk]</v>
      </c>
      <c r="F635" s="318" t="str">
        <f>IF($L$14=1,Preisliste!$E212,Preisliste!$F212)</f>
        <v>H801640</v>
      </c>
      <c r="G635" s="988" t="str">
        <f>VLOOKUP("Steher VARIO 60° 80-750 mm (Anfertigung auf Bestellung)",Sprachindex!$A:$Z,Haftungsausschluß!$O$6,FALSE)</f>
        <v>Steher VARIO 60° 80-750 mm (Anfertigung auf Bestellung)</v>
      </c>
      <c r="H635" s="989"/>
      <c r="I635" s="989"/>
      <c r="J635" s="989"/>
      <c r="K635" s="989"/>
      <c r="L635" s="989"/>
      <c r="M635" s="990"/>
      <c r="N635" s="313"/>
      <c r="O635" s="426">
        <f t="shared" si="30"/>
        <v>0</v>
      </c>
      <c r="P635" s="324"/>
    </row>
    <row r="636" spans="2:16" ht="32.1" hidden="1" customHeight="1">
      <c r="B636" s="615"/>
      <c r="C636" s="664">
        <v>1350</v>
      </c>
      <c r="D636" s="612">
        <f t="shared" si="29"/>
        <v>0</v>
      </c>
      <c r="E636" s="318" t="str">
        <f>VLOOKUP("[Stk]",Sprachindex!$A:$Z,Haftungsausschluß!$O$6,FALSE)</f>
        <v>[Stk]</v>
      </c>
      <c r="F636" s="318" t="str">
        <f>IF($L$14=1,Preisliste!$E213,Preisliste!$F213)</f>
        <v>H801641</v>
      </c>
      <c r="G636" s="988" t="str">
        <f>VLOOKUP("Steher VARIO 60° 80-1350 mm (Anfertigung auf Bestellung)",Sprachindex!$A:$Z,Haftungsausschluß!$O$6,FALSE)</f>
        <v>Steher VARIO 60° 80-1350 mm (Anfertigung auf Bestellung)</v>
      </c>
      <c r="H636" s="989"/>
      <c r="I636" s="989"/>
      <c r="J636" s="989"/>
      <c r="K636" s="989"/>
      <c r="L636" s="989"/>
      <c r="M636" s="990"/>
      <c r="N636" s="313"/>
      <c r="O636" s="426">
        <f t="shared" si="30"/>
        <v>0</v>
      </c>
      <c r="P636" s="324"/>
    </row>
    <row r="637" spans="2:16" ht="32.1" hidden="1" customHeight="1">
      <c r="B637" s="615"/>
      <c r="C637" s="664">
        <v>1750</v>
      </c>
      <c r="D637" s="612">
        <f t="shared" si="29"/>
        <v>0</v>
      </c>
      <c r="E637" s="318" t="str">
        <f>VLOOKUP("[Stk]",Sprachindex!$A:$Z,Haftungsausschluß!$O$6,FALSE)</f>
        <v>[Stk]</v>
      </c>
      <c r="F637" s="318" t="str">
        <f>IF($L$14=1,Preisliste!$E214,Preisliste!$F214)</f>
        <v>H801642</v>
      </c>
      <c r="G637" s="988" t="str">
        <f>VLOOKUP("Steher VARIO 60° 80-1750 mm (Anfertigung auf Bestellung)",Sprachindex!$A:$Z,Haftungsausschluß!$O$6,FALSE)</f>
        <v>Steher VARIO 60° 80-1750 mm (Anfertigung auf Bestellung)</v>
      </c>
      <c r="H637" s="989"/>
      <c r="I637" s="989"/>
      <c r="J637" s="989"/>
      <c r="K637" s="989"/>
      <c r="L637" s="989"/>
      <c r="M637" s="990"/>
      <c r="N637" s="313"/>
      <c r="O637" s="426">
        <f t="shared" si="30"/>
        <v>0</v>
      </c>
      <c r="P637" s="324"/>
    </row>
    <row r="638" spans="2:16" ht="32.1" hidden="1" customHeight="1">
      <c r="B638" s="615"/>
      <c r="C638" s="664">
        <v>2150</v>
      </c>
      <c r="D638" s="612">
        <f t="shared" si="29"/>
        <v>0</v>
      </c>
      <c r="E638" s="318" t="str">
        <f>VLOOKUP("[Stk]",Sprachindex!$A:$Z,Haftungsausschluß!$O$6,FALSE)</f>
        <v>[Stk]</v>
      </c>
      <c r="F638" s="318" t="str">
        <f>IF($L$14=1,Preisliste!$E215,Preisliste!$F215)</f>
        <v>H801643</v>
      </c>
      <c r="G638" s="988" t="str">
        <f>VLOOKUP("Steher VARIO 60° 80-2150 mm (Anfertigung auf Bestellung)",Sprachindex!$A:$Z,Haftungsausschluß!$O$6,FALSE)</f>
        <v>Steher VARIO 60° 80-2150 mm (Anfertigung auf Bestellung)</v>
      </c>
      <c r="H638" s="989"/>
      <c r="I638" s="989"/>
      <c r="J638" s="989"/>
      <c r="K638" s="989"/>
      <c r="L638" s="989"/>
      <c r="M638" s="990"/>
      <c r="N638" s="313"/>
      <c r="O638" s="426">
        <f t="shared" si="30"/>
        <v>0</v>
      </c>
      <c r="P638" s="324"/>
    </row>
    <row r="639" spans="2:16" ht="32.1" hidden="1" customHeight="1">
      <c r="B639" s="615"/>
      <c r="C639" s="664">
        <v>750</v>
      </c>
      <c r="D639" s="612">
        <f t="shared" si="29"/>
        <v>0</v>
      </c>
      <c r="E639" s="318" t="str">
        <f>VLOOKUP("[Stk]",Sprachindex!$A:$Z,Haftungsausschluß!$O$6,FALSE)</f>
        <v>[Stk]</v>
      </c>
      <c r="F639" s="318" t="str">
        <f>IF($L$14=1,Preisliste!$E216,Preisliste!$F216)</f>
        <v>H501610</v>
      </c>
      <c r="G639" s="988" t="str">
        <f>VLOOKUP("Steher VARIO 15° 50-750 mm (Anfertigung auf Bestellung)",Sprachindex!$A:$Z,Haftungsausschluß!$O$6,FALSE)</f>
        <v>Steher VARIO 15° 50-750 mm (Anfertigung auf Bestellung)</v>
      </c>
      <c r="H639" s="989"/>
      <c r="I639" s="989"/>
      <c r="J639" s="989"/>
      <c r="K639" s="989"/>
      <c r="L639" s="989"/>
      <c r="M639" s="990"/>
      <c r="N639" s="313"/>
      <c r="O639" s="426">
        <f t="shared" si="30"/>
        <v>0</v>
      </c>
      <c r="P639" s="324"/>
    </row>
    <row r="640" spans="2:16" ht="32.1" hidden="1" customHeight="1">
      <c r="B640" s="615"/>
      <c r="C640" s="664">
        <v>1350</v>
      </c>
      <c r="D640" s="612">
        <f t="shared" si="29"/>
        <v>0</v>
      </c>
      <c r="E640" s="318" t="str">
        <f>VLOOKUP("[Stk]",Sprachindex!$A:$Z,Haftungsausschluß!$O$6,FALSE)</f>
        <v>[Stk]</v>
      </c>
      <c r="F640" s="318" t="str">
        <f>IF($L$14=1,Preisliste!$E217,Preisliste!$F217)</f>
        <v>H501611</v>
      </c>
      <c r="G640" s="988" t="str">
        <f>VLOOKUP("Steher VARIO 15° 50-1350 mm (Anfertigung auf Bestellung)",Sprachindex!$A:$Z,Haftungsausschluß!$O$6,FALSE)</f>
        <v>Steher VARIO 15° 50-1350 mm (Anfertigung auf Bestellung)</v>
      </c>
      <c r="H640" s="989"/>
      <c r="I640" s="989"/>
      <c r="J640" s="989"/>
      <c r="K640" s="989"/>
      <c r="L640" s="989"/>
      <c r="M640" s="990"/>
      <c r="N640" s="313"/>
      <c r="O640" s="426">
        <f t="shared" si="30"/>
        <v>0</v>
      </c>
      <c r="P640" s="324"/>
    </row>
    <row r="641" spans="2:16" ht="32.1" hidden="1" customHeight="1">
      <c r="B641" s="615"/>
      <c r="C641" s="664">
        <v>1750</v>
      </c>
      <c r="D641" s="612">
        <f t="shared" si="29"/>
        <v>0</v>
      </c>
      <c r="E641" s="318" t="str">
        <f>VLOOKUP("[Stk]",Sprachindex!$A:$Z,Haftungsausschluß!$O$6,FALSE)</f>
        <v>[Stk]</v>
      </c>
      <c r="F641" s="318" t="str">
        <f>IF($L$14=1,Preisliste!$E218,Preisliste!$F218)</f>
        <v>H501612</v>
      </c>
      <c r="G641" s="988" t="str">
        <f>VLOOKUP("Steher VARIO 15° 50-1750 mm (Anfertigung auf Bestellung)",Sprachindex!$A:$Z,Haftungsausschluß!$O$6,FALSE)</f>
        <v>Steher VARIO 15° 50-1750 mm (Anfertigung auf Bestellung)</v>
      </c>
      <c r="H641" s="989"/>
      <c r="I641" s="989"/>
      <c r="J641" s="989"/>
      <c r="K641" s="989"/>
      <c r="L641" s="989"/>
      <c r="M641" s="990"/>
      <c r="N641" s="313"/>
      <c r="O641" s="426">
        <f t="shared" si="30"/>
        <v>0</v>
      </c>
      <c r="P641" s="324"/>
    </row>
    <row r="642" spans="2:16" ht="32.1" hidden="1" customHeight="1">
      <c r="B642" s="615"/>
      <c r="C642" s="664">
        <v>2150</v>
      </c>
      <c r="D642" s="612">
        <f t="shared" si="29"/>
        <v>0</v>
      </c>
      <c r="E642" s="318" t="str">
        <f>VLOOKUP("[Stk]",Sprachindex!$A:$Z,Haftungsausschluß!$O$6,FALSE)</f>
        <v>[Stk]</v>
      </c>
      <c r="F642" s="318" t="str">
        <f>IF($L$14=1,Preisliste!$E219,Preisliste!$F219)</f>
        <v>H501613</v>
      </c>
      <c r="G642" s="988" t="str">
        <f>VLOOKUP("Steher VARIO 15° 50-2150 mm (Anfertigung auf Bestellung)",Sprachindex!$A:$Z,Haftungsausschluß!$O$6,FALSE)</f>
        <v>Steher VARIO 15° 50-2150 mm (Anfertigung auf Bestellung)</v>
      </c>
      <c r="H642" s="989"/>
      <c r="I642" s="989"/>
      <c r="J642" s="989"/>
      <c r="K642" s="989"/>
      <c r="L642" s="989"/>
      <c r="M642" s="990"/>
      <c r="N642" s="313"/>
      <c r="O642" s="426">
        <f t="shared" si="30"/>
        <v>0</v>
      </c>
      <c r="P642" s="324"/>
    </row>
    <row r="643" spans="2:16" ht="32.1" hidden="1" customHeight="1">
      <c r="B643" s="615"/>
      <c r="C643" s="664">
        <v>750</v>
      </c>
      <c r="D643" s="612">
        <f t="shared" si="29"/>
        <v>0</v>
      </c>
      <c r="E643" s="318" t="str">
        <f>VLOOKUP("[Stk]",Sprachindex!$A:$Z,Haftungsausschluß!$O$6,FALSE)</f>
        <v>[Stk]</v>
      </c>
      <c r="F643" s="318" t="str">
        <f>IF($L$14=1,Preisliste!$E220,Preisliste!$F220)</f>
        <v>H501620</v>
      </c>
      <c r="G643" s="988" t="str">
        <f>VLOOKUP("Steher VARIO 30° 50-750 mm (Anfertigung auf Bestellung)",Sprachindex!$A:$Z,Haftungsausschluß!$O$6,FALSE)</f>
        <v>Steher VARIO 30° 50-750 mm (Anfertigung auf Bestellung)</v>
      </c>
      <c r="H643" s="989"/>
      <c r="I643" s="989"/>
      <c r="J643" s="989"/>
      <c r="K643" s="989"/>
      <c r="L643" s="989"/>
      <c r="M643" s="990"/>
      <c r="N643" s="313"/>
      <c r="O643" s="426">
        <f t="shared" si="30"/>
        <v>0</v>
      </c>
      <c r="P643" s="324"/>
    </row>
    <row r="644" spans="2:16" ht="32.1" hidden="1" customHeight="1">
      <c r="B644" s="615"/>
      <c r="C644" s="664">
        <v>1350</v>
      </c>
      <c r="D644" s="612">
        <f t="shared" si="29"/>
        <v>0</v>
      </c>
      <c r="E644" s="318" t="str">
        <f>VLOOKUP("[Stk]",Sprachindex!$A:$Z,Haftungsausschluß!$O$6,FALSE)</f>
        <v>[Stk]</v>
      </c>
      <c r="F644" s="318" t="str">
        <f>IF($L$14=1,Preisliste!$E221,Preisliste!$F221)</f>
        <v>H501621</v>
      </c>
      <c r="G644" s="988" t="str">
        <f>VLOOKUP("Steher VARIO 30° 50-1350 mm (Anfertigung auf Bestellung)",Sprachindex!$A:$Z,Haftungsausschluß!$O$6,FALSE)</f>
        <v>Steher VARIO 30° 50-1350 mm (Anfertigung auf Bestellung)</v>
      </c>
      <c r="H644" s="989"/>
      <c r="I644" s="989"/>
      <c r="J644" s="989"/>
      <c r="K644" s="989"/>
      <c r="L644" s="989"/>
      <c r="M644" s="990"/>
      <c r="N644" s="313"/>
      <c r="O644" s="426">
        <f t="shared" si="30"/>
        <v>0</v>
      </c>
      <c r="P644" s="324"/>
    </row>
    <row r="645" spans="2:16" ht="32.1" hidden="1" customHeight="1">
      <c r="B645" s="615"/>
      <c r="C645" s="664">
        <v>1750</v>
      </c>
      <c r="D645" s="612">
        <f t="shared" si="29"/>
        <v>0</v>
      </c>
      <c r="E645" s="318" t="str">
        <f>VLOOKUP("[Stk]",Sprachindex!$A:$Z,Haftungsausschluß!$O$6,FALSE)</f>
        <v>[Stk]</v>
      </c>
      <c r="F645" s="318" t="str">
        <f>IF($L$14=1,Preisliste!$E222,Preisliste!$F222)</f>
        <v>H501622</v>
      </c>
      <c r="G645" s="988" t="str">
        <f>VLOOKUP("Steher VARIO 30° 50-1750 mm (Anfertigung auf Bestellung)",Sprachindex!$A:$Z,Haftungsausschluß!$O$6,FALSE)</f>
        <v>Steher VARIO 30° 50-1750 mm (Anfertigung auf Bestellung)</v>
      </c>
      <c r="H645" s="989"/>
      <c r="I645" s="989"/>
      <c r="J645" s="989"/>
      <c r="K645" s="989"/>
      <c r="L645" s="989"/>
      <c r="M645" s="990"/>
      <c r="N645" s="313"/>
      <c r="O645" s="426">
        <f t="shared" si="30"/>
        <v>0</v>
      </c>
      <c r="P645" s="324"/>
    </row>
    <row r="646" spans="2:16" ht="32.1" hidden="1" customHeight="1">
      <c r="B646" s="615"/>
      <c r="C646" s="664">
        <v>2150</v>
      </c>
      <c r="D646" s="612">
        <f t="shared" si="29"/>
        <v>0</v>
      </c>
      <c r="E646" s="318" t="str">
        <f>VLOOKUP("[Stk]",Sprachindex!$A:$Z,Haftungsausschluß!$O$6,FALSE)</f>
        <v>[Stk]</v>
      </c>
      <c r="F646" s="318" t="str">
        <f>IF($L$14=1,Preisliste!$E223,Preisliste!$F223)</f>
        <v>H501623</v>
      </c>
      <c r="G646" s="988" t="str">
        <f>VLOOKUP("Steher VARIO 30° 50-2150 mm (Anfertigung auf Bestellung)",Sprachindex!$A:$Z,Haftungsausschluß!$O$6,FALSE)</f>
        <v>Steher VARIO 30° 50-2150 mm (Anfertigung auf Bestellung)</v>
      </c>
      <c r="H646" s="989"/>
      <c r="I646" s="989"/>
      <c r="J646" s="989"/>
      <c r="K646" s="989"/>
      <c r="L646" s="989"/>
      <c r="M646" s="990"/>
      <c r="N646" s="313"/>
      <c r="O646" s="426">
        <f t="shared" si="30"/>
        <v>0</v>
      </c>
      <c r="P646" s="324"/>
    </row>
    <row r="647" spans="2:16" ht="32.1" hidden="1" customHeight="1">
      <c r="B647" s="615"/>
      <c r="C647" s="664">
        <v>750</v>
      </c>
      <c r="D647" s="612">
        <f t="shared" si="29"/>
        <v>0</v>
      </c>
      <c r="E647" s="318" t="str">
        <f>VLOOKUP("[Stk]",Sprachindex!$A:$Z,Haftungsausschluß!$O$6,FALSE)</f>
        <v>[Stk]</v>
      </c>
      <c r="F647" s="318" t="str">
        <f>IF($L$14=1,Preisliste!$E224,Preisliste!$F224)</f>
        <v>H501630</v>
      </c>
      <c r="G647" s="988" t="str">
        <f>VLOOKUP("Steher VARIO 45° 50-750 mm (Anfertigung auf Bestellung)",Sprachindex!$A:$Z,Haftungsausschluß!$O$6,FALSE)</f>
        <v>Steher VARIO 45° 50-750 mm (Anfertigung auf Bestellung)</v>
      </c>
      <c r="H647" s="989"/>
      <c r="I647" s="989"/>
      <c r="J647" s="989"/>
      <c r="K647" s="989"/>
      <c r="L647" s="989"/>
      <c r="M647" s="990"/>
      <c r="N647" s="313"/>
      <c r="O647" s="426">
        <f t="shared" si="30"/>
        <v>0</v>
      </c>
      <c r="P647" s="324"/>
    </row>
    <row r="648" spans="2:16" ht="32.1" hidden="1" customHeight="1">
      <c r="B648" s="615"/>
      <c r="C648" s="664">
        <v>1350</v>
      </c>
      <c r="D648" s="612">
        <f t="shared" si="29"/>
        <v>0</v>
      </c>
      <c r="E648" s="318" t="str">
        <f>VLOOKUP("[Stk]",Sprachindex!$A:$Z,Haftungsausschluß!$O$6,FALSE)</f>
        <v>[Stk]</v>
      </c>
      <c r="F648" s="318" t="str">
        <f>IF($L$14=1,Preisliste!$E225,Preisliste!$F225)</f>
        <v>H501631</v>
      </c>
      <c r="G648" s="988" t="str">
        <f>VLOOKUP("Steher VARIO 45° 50-1350 mm (Anfertigung auf Bestellung)",Sprachindex!$A:$Z,Haftungsausschluß!$O$6,FALSE)</f>
        <v>Steher VARIO 45° 50-1350 mm (Anfertigung auf Bestellung)</v>
      </c>
      <c r="H648" s="989"/>
      <c r="I648" s="989"/>
      <c r="J648" s="989"/>
      <c r="K648" s="989"/>
      <c r="L648" s="989"/>
      <c r="M648" s="990"/>
      <c r="N648" s="313"/>
      <c r="O648" s="426">
        <f t="shared" si="30"/>
        <v>0</v>
      </c>
      <c r="P648" s="324"/>
    </row>
    <row r="649" spans="2:16" ht="32.1" hidden="1" customHeight="1">
      <c r="B649" s="615"/>
      <c r="C649" s="664">
        <v>1750</v>
      </c>
      <c r="D649" s="612">
        <f t="shared" si="29"/>
        <v>0</v>
      </c>
      <c r="E649" s="318" t="str">
        <f>VLOOKUP("[Stk]",Sprachindex!$A:$Z,Haftungsausschluß!$O$6,FALSE)</f>
        <v>[Stk]</v>
      </c>
      <c r="F649" s="318" t="str">
        <f>IF($L$14=1,Preisliste!$E226,Preisliste!$F226)</f>
        <v>H501632</v>
      </c>
      <c r="G649" s="988" t="str">
        <f>VLOOKUP("Steher VARIO 45° 50-1750 mm (Anfertigung auf Bestellung)",Sprachindex!$A:$Z,Haftungsausschluß!$O$6,FALSE)</f>
        <v>Steher VARIO 45° 50-1750 mm (Anfertigung auf Bestellung)</v>
      </c>
      <c r="H649" s="989"/>
      <c r="I649" s="989"/>
      <c r="J649" s="989"/>
      <c r="K649" s="989"/>
      <c r="L649" s="989"/>
      <c r="M649" s="990"/>
      <c r="N649" s="313"/>
      <c r="O649" s="426">
        <f t="shared" si="30"/>
        <v>0</v>
      </c>
      <c r="P649" s="324"/>
    </row>
    <row r="650" spans="2:16" ht="32.1" hidden="1" customHeight="1">
      <c r="B650" s="615"/>
      <c r="C650" s="664">
        <v>2150</v>
      </c>
      <c r="D650" s="612">
        <f t="shared" si="29"/>
        <v>0</v>
      </c>
      <c r="E650" s="318" t="str">
        <f>VLOOKUP("[Stk]",Sprachindex!$A:$Z,Haftungsausschluß!$O$6,FALSE)</f>
        <v>[Stk]</v>
      </c>
      <c r="F650" s="318" t="str">
        <f>IF($L$14=1,Preisliste!$E227,Preisliste!$F227)</f>
        <v>H501633</v>
      </c>
      <c r="G650" s="988" t="str">
        <f>VLOOKUP("Steher VARIO 45° 50-2150 mm (Anfertigung auf Bestellung)",Sprachindex!$A:$Z,Haftungsausschluß!$O$6,FALSE)</f>
        <v>Steher VARIO 45° 50-2150 mm (Anfertigung auf Bestellung)</v>
      </c>
      <c r="H650" s="989"/>
      <c r="I650" s="989"/>
      <c r="J650" s="989"/>
      <c r="K650" s="989"/>
      <c r="L650" s="989"/>
      <c r="M650" s="990"/>
      <c r="N650" s="313"/>
      <c r="O650" s="426">
        <f t="shared" si="30"/>
        <v>0</v>
      </c>
      <c r="P650" s="324"/>
    </row>
    <row r="651" spans="2:16" ht="32.1" hidden="1" customHeight="1">
      <c r="B651" s="615"/>
      <c r="C651" s="664">
        <v>750</v>
      </c>
      <c r="D651" s="612">
        <f t="shared" si="29"/>
        <v>0</v>
      </c>
      <c r="E651" s="318" t="str">
        <f>VLOOKUP("[Stk]",Sprachindex!$A:$Z,Haftungsausschluß!$O$6,FALSE)</f>
        <v>[Stk]</v>
      </c>
      <c r="F651" s="318" t="str">
        <f>IF($L$14=1,Preisliste!$E228,Preisliste!$F228)</f>
        <v>H501640</v>
      </c>
      <c r="G651" s="988" t="str">
        <f>VLOOKUP("Steher VARIO 60° 50-750 mm (Anfertigung auf Bestellung)",Sprachindex!$A:$Z,Haftungsausschluß!$O$6,FALSE)</f>
        <v>Steher VARIO 60° 50-750 mm (Anfertigung auf Bestellung)</v>
      </c>
      <c r="H651" s="989"/>
      <c r="I651" s="989"/>
      <c r="J651" s="989"/>
      <c r="K651" s="989"/>
      <c r="L651" s="989"/>
      <c r="M651" s="990"/>
      <c r="N651" s="313"/>
      <c r="O651" s="426">
        <f t="shared" si="30"/>
        <v>0</v>
      </c>
      <c r="P651" s="324"/>
    </row>
    <row r="652" spans="2:16" ht="32.1" hidden="1" customHeight="1">
      <c r="B652" s="615"/>
      <c r="C652" s="664">
        <v>1350</v>
      </c>
      <c r="D652" s="612">
        <f t="shared" si="29"/>
        <v>0</v>
      </c>
      <c r="E652" s="318" t="str">
        <f>VLOOKUP("[Stk]",Sprachindex!$A:$Z,Haftungsausschluß!$O$6,FALSE)</f>
        <v>[Stk]</v>
      </c>
      <c r="F652" s="318" t="str">
        <f>IF($L$14=1,Preisliste!$E229,Preisliste!$F229)</f>
        <v>H501641</v>
      </c>
      <c r="G652" s="988" t="str">
        <f>VLOOKUP("Steher VARIO 60° 50-1350 mm (Anfertigung auf Bestellung)",Sprachindex!$A:$Z,Haftungsausschluß!$O$6,FALSE)</f>
        <v>Steher VARIO 60° 50-1350 mm (Anfertigung auf Bestellung)</v>
      </c>
      <c r="H652" s="989"/>
      <c r="I652" s="989"/>
      <c r="J652" s="989"/>
      <c r="K652" s="989"/>
      <c r="L652" s="989"/>
      <c r="M652" s="990"/>
      <c r="N652" s="313"/>
      <c r="O652" s="426">
        <f t="shared" si="30"/>
        <v>0</v>
      </c>
      <c r="P652" s="324"/>
    </row>
    <row r="653" spans="2:16" ht="32.1" hidden="1" customHeight="1">
      <c r="B653" s="615"/>
      <c r="C653" s="664">
        <v>1750</v>
      </c>
      <c r="D653" s="612">
        <f t="shared" si="29"/>
        <v>0</v>
      </c>
      <c r="E653" s="318" t="str">
        <f>VLOOKUP("[Stk]",Sprachindex!$A:$Z,Haftungsausschluß!$O$6,FALSE)</f>
        <v>[Stk]</v>
      </c>
      <c r="F653" s="318" t="str">
        <f>IF($L$14=1,Preisliste!$E230,Preisliste!$F230)</f>
        <v>H501642</v>
      </c>
      <c r="G653" s="988" t="str">
        <f>VLOOKUP("Steher VARIO 60° 50-1750 mm (Anfertigung auf Bestellung)",Sprachindex!$A:$Z,Haftungsausschluß!$O$6,FALSE)</f>
        <v>Steher VARIO 60° 50-1750 mm (Anfertigung auf Bestellung)</v>
      </c>
      <c r="H653" s="989"/>
      <c r="I653" s="989"/>
      <c r="J653" s="989"/>
      <c r="K653" s="989"/>
      <c r="L653" s="989"/>
      <c r="M653" s="990"/>
      <c r="N653" s="313"/>
      <c r="O653" s="426">
        <f t="shared" si="30"/>
        <v>0</v>
      </c>
      <c r="P653" s="324"/>
    </row>
    <row r="654" spans="2:16" ht="32.1" hidden="1" customHeight="1">
      <c r="B654" s="615"/>
      <c r="C654" s="664">
        <v>2150</v>
      </c>
      <c r="D654" s="612">
        <f t="shared" si="29"/>
        <v>0</v>
      </c>
      <c r="E654" s="318" t="str">
        <f>VLOOKUP("[Stk]",Sprachindex!$A:$Z,Haftungsausschluß!$O$6,FALSE)</f>
        <v>[Stk]</v>
      </c>
      <c r="F654" s="318" t="str">
        <f>IF($L$14=1,Preisliste!$E231,Preisliste!$F231)</f>
        <v>H501643</v>
      </c>
      <c r="G654" s="988" t="str">
        <f>VLOOKUP("Steher VARIO 60° 50-2150 mm (Anfertigung auf Bestellung)",Sprachindex!$A:$Z,Haftungsausschluß!$O$6,FALSE)</f>
        <v>Steher VARIO 60° 50-2150 mm (Anfertigung auf Bestellung)</v>
      </c>
      <c r="H654" s="989"/>
      <c r="I654" s="989"/>
      <c r="J654" s="989"/>
      <c r="K654" s="989"/>
      <c r="L654" s="989"/>
      <c r="M654" s="990"/>
      <c r="N654" s="313"/>
      <c r="O654" s="426">
        <f t="shared" si="30"/>
        <v>0</v>
      </c>
      <c r="P654" s="324"/>
    </row>
    <row r="655" spans="2:16" ht="32.1" hidden="1" customHeight="1">
      <c r="B655" s="615"/>
      <c r="C655" s="664">
        <v>750</v>
      </c>
      <c r="D655" s="612">
        <f t="shared" si="29"/>
        <v>0</v>
      </c>
      <c r="E655" s="318" t="str">
        <f>VLOOKUP("[Stk]",Sprachindex!$A:$Z,Haftungsausschluß!$O$6,FALSE)</f>
        <v>[Stk]</v>
      </c>
      <c r="F655" s="318" t="str">
        <f>IF($L$14=1,Preisliste!$E232,Preisliste!$F232)</f>
        <v>H501650</v>
      </c>
      <c r="G655" s="988" t="str">
        <f>VLOOKUP("Steher VARIO 75° 50-750 mm (Anfertigung auf Bestellung)",Sprachindex!$A:$Z,Haftungsausschluß!$O$6,FALSE)</f>
        <v>Steher VARIO 75° 50-750 mm (Anfertigung auf Bestellung)</v>
      </c>
      <c r="H655" s="989"/>
      <c r="I655" s="989"/>
      <c r="J655" s="989"/>
      <c r="K655" s="989"/>
      <c r="L655" s="989"/>
      <c r="M655" s="990"/>
      <c r="N655" s="313"/>
      <c r="O655" s="426">
        <f t="shared" si="30"/>
        <v>0</v>
      </c>
      <c r="P655" s="324"/>
    </row>
    <row r="656" spans="2:16" ht="32.1" hidden="1" customHeight="1">
      <c r="B656" s="615"/>
      <c r="C656" s="664">
        <v>1350</v>
      </c>
      <c r="D656" s="612">
        <f t="shared" si="29"/>
        <v>0</v>
      </c>
      <c r="E656" s="318" t="str">
        <f>VLOOKUP("[Stk]",Sprachindex!$A:$Z,Haftungsausschluß!$O$6,FALSE)</f>
        <v>[Stk]</v>
      </c>
      <c r="F656" s="318" t="str">
        <f>IF($L$14=1,Preisliste!$E233,Preisliste!$F233)</f>
        <v>H501651</v>
      </c>
      <c r="G656" s="988" t="str">
        <f>VLOOKUP("Steher VARIO 75° 50-1350 mm (Anfertigung auf Bestellung)",Sprachindex!$A:$Z,Haftungsausschluß!$O$6,FALSE)</f>
        <v>Steher VARIO 75° 50-1350 mm (Anfertigung auf Bestellung)</v>
      </c>
      <c r="H656" s="989"/>
      <c r="I656" s="989"/>
      <c r="J656" s="989"/>
      <c r="K656" s="989"/>
      <c r="L656" s="989"/>
      <c r="M656" s="990"/>
      <c r="N656" s="313"/>
      <c r="O656" s="426">
        <f t="shared" si="30"/>
        <v>0</v>
      </c>
      <c r="P656" s="324"/>
    </row>
    <row r="657" spans="2:33" ht="32.1" hidden="1" customHeight="1">
      <c r="B657" s="615"/>
      <c r="C657" s="664">
        <v>1750</v>
      </c>
      <c r="D657" s="612">
        <f t="shared" si="29"/>
        <v>0</v>
      </c>
      <c r="E657" s="318" t="str">
        <f>VLOOKUP("[Stk]",Sprachindex!$A:$Z,Haftungsausschluß!$O$6,FALSE)</f>
        <v>[Stk]</v>
      </c>
      <c r="F657" s="318" t="str">
        <f>IF($L$14=1,Preisliste!$E234,Preisliste!$F234)</f>
        <v>H501652</v>
      </c>
      <c r="G657" s="988" t="str">
        <f>VLOOKUP("Steher VARIO 75° 50-1750 mm (Anfertigung auf Bestellung)",Sprachindex!$A:$Z,Haftungsausschluß!$O$6,FALSE)</f>
        <v>Steher VARIO 75° 50-1750 mm (Anfertigung auf Bestellung)</v>
      </c>
      <c r="H657" s="989"/>
      <c r="I657" s="989"/>
      <c r="J657" s="989"/>
      <c r="K657" s="989"/>
      <c r="L657" s="989"/>
      <c r="M657" s="990"/>
      <c r="N657" s="313"/>
      <c r="O657" s="426">
        <f t="shared" si="30"/>
        <v>0</v>
      </c>
      <c r="P657" s="324"/>
    </row>
    <row r="658" spans="2:33" ht="32.1" hidden="1" customHeight="1">
      <c r="B658" s="615"/>
      <c r="C658" s="523">
        <v>2150</v>
      </c>
      <c r="D658" s="612">
        <f t="shared" si="29"/>
        <v>0</v>
      </c>
      <c r="E658" s="318" t="str">
        <f>VLOOKUP("[Stk]",Sprachindex!$A:$Z,Haftungsausschluß!$O$6,FALSE)</f>
        <v>[Stk]</v>
      </c>
      <c r="F658" s="318" t="str">
        <f>IF($L$14=1,Preisliste!$E235,Preisliste!$F235)</f>
        <v>H501653</v>
      </c>
      <c r="G658" s="988" t="str">
        <f>VLOOKUP("Steher VARIO 75° 50-2150 mm (Anfertigung auf Bestellung)",Sprachindex!$A:$Z,Haftungsausschluß!$O$6,FALSE)</f>
        <v>Steher VARIO 75° 50-2150 mm (Anfertigung auf Bestellung)</v>
      </c>
      <c r="H658" s="989"/>
      <c r="I658" s="989"/>
      <c r="J658" s="989"/>
      <c r="K658" s="989"/>
      <c r="L658" s="989"/>
      <c r="M658" s="990"/>
      <c r="N658" s="511"/>
      <c r="O658" s="512">
        <f t="shared" si="30"/>
        <v>0</v>
      </c>
      <c r="P658" s="324"/>
    </row>
    <row r="659" spans="2:33" ht="32.1" hidden="1" customHeight="1">
      <c r="B659" s="615"/>
      <c r="C659" s="523"/>
      <c r="D659" s="612">
        <f t="shared" si="29"/>
        <v>0</v>
      </c>
      <c r="E659" s="318" t="str">
        <f>VLOOKUP("[Stk]",Sprachindex!$A:$Z,Haftungsausschluß!$O$6,FALSE)</f>
        <v>[Stk]</v>
      </c>
      <c r="F659" s="318" t="str">
        <f>IF($L$14=1,Preisliste!$E236,Preisliste!$F236)</f>
        <v>-</v>
      </c>
      <c r="G659" s="988" t="str">
        <f>VLOOKUP("Steher VARIO 15° 80 Sonderlänge exkl. Dichtung, (Stangenware)",Sprachindex!$A:$Z,Haftungsausschluß!$O$6,FALSE)</f>
        <v>Steher VARIO 15° 80 Sonderlänge exkl. Dichtung, (Stangenware)</v>
      </c>
      <c r="H659" s="989"/>
      <c r="I659" s="989"/>
      <c r="J659" s="989"/>
      <c r="K659" s="989"/>
      <c r="L659" s="989"/>
      <c r="M659" s="990"/>
      <c r="N659" s="511"/>
      <c r="O659" s="512"/>
      <c r="P659" s="324"/>
    </row>
    <row r="660" spans="2:33" ht="32.1" hidden="1" customHeight="1">
      <c r="B660" s="615"/>
      <c r="C660" s="523"/>
      <c r="D660" s="612">
        <f t="shared" si="29"/>
        <v>0</v>
      </c>
      <c r="E660" s="318" t="str">
        <f>VLOOKUP("[Stk]",Sprachindex!$A:$Z,Haftungsausschluß!$O$6,FALSE)</f>
        <v>[Stk]</v>
      </c>
      <c r="F660" s="318" t="str">
        <f>IF($L$14=1,Preisliste!$E237,Preisliste!$F237)</f>
        <v>-</v>
      </c>
      <c r="G660" s="988" t="str">
        <f>VLOOKUP("Steher VARIO 30° 80 Sonderlänge exkl. Dichtung, (Stangenware)",Sprachindex!$A:$Z,Haftungsausschluß!$O$6,FALSE)</f>
        <v>Steher VARIO 30° 80 Sonderlänge exkl. Dichtung, (Stangenware)</v>
      </c>
      <c r="H660" s="989"/>
      <c r="I660" s="989"/>
      <c r="J660" s="989"/>
      <c r="K660" s="989"/>
      <c r="L660" s="989"/>
      <c r="M660" s="990"/>
      <c r="N660" s="511"/>
      <c r="O660" s="512"/>
      <c r="P660" s="324"/>
    </row>
    <row r="661" spans="2:33" ht="32.1" hidden="1" customHeight="1">
      <c r="B661" s="615"/>
      <c r="C661" s="523"/>
      <c r="D661" s="612">
        <f t="shared" si="29"/>
        <v>0</v>
      </c>
      <c r="E661" s="318" t="str">
        <f>VLOOKUP("[Stk]",Sprachindex!$A:$Z,Haftungsausschluß!$O$6,FALSE)</f>
        <v>[Stk]</v>
      </c>
      <c r="F661" s="318" t="str">
        <f>IF($L$14=1,Preisliste!$E238,Preisliste!$F238)</f>
        <v>-</v>
      </c>
      <c r="G661" s="988" t="str">
        <f>VLOOKUP("Steher VARIO 45° 80 Sonderlänge exkl. Dichtung, (Stangenware)",Sprachindex!$A:$Z,Haftungsausschluß!$O$6,FALSE)</f>
        <v>Steher VARIO 45° 80 Sonderlänge exkl. Dichtung, (Stangenware)</v>
      </c>
      <c r="H661" s="989"/>
      <c r="I661" s="989"/>
      <c r="J661" s="989"/>
      <c r="K661" s="989"/>
      <c r="L661" s="989"/>
      <c r="M661" s="990"/>
      <c r="N661" s="511"/>
      <c r="O661" s="512"/>
      <c r="P661" s="324"/>
    </row>
    <row r="662" spans="2:33" ht="32.1" hidden="1" customHeight="1">
      <c r="B662" s="615"/>
      <c r="C662" s="523"/>
      <c r="D662" s="612">
        <f t="shared" si="29"/>
        <v>0</v>
      </c>
      <c r="E662" s="318" t="str">
        <f>VLOOKUP("[Stk]",Sprachindex!$A:$Z,Haftungsausschluß!$O$6,FALSE)</f>
        <v>[Stk]</v>
      </c>
      <c r="F662" s="318" t="str">
        <f>IF($L$14=1,Preisliste!$E239,Preisliste!$F239)</f>
        <v>-</v>
      </c>
      <c r="G662" s="988" t="str">
        <f>VLOOKUP("Steher VARIO 60° 80 Sonderlänge exkl. Dichtung, (Stangenware)",Sprachindex!$A:$Z,Haftungsausschluß!$O$6,FALSE)</f>
        <v>Steher VARIO 60° 80 Sonderlänge exkl. Dichtung, (Stangenware)</v>
      </c>
      <c r="H662" s="989"/>
      <c r="I662" s="989"/>
      <c r="J662" s="989"/>
      <c r="K662" s="989"/>
      <c r="L662" s="989"/>
      <c r="M662" s="990"/>
      <c r="N662" s="511"/>
      <c r="O662" s="512"/>
      <c r="P662" s="324"/>
    </row>
    <row r="663" spans="2:33" ht="32.1" hidden="1" customHeight="1">
      <c r="B663" s="615"/>
      <c r="C663" s="523"/>
      <c r="D663" s="612">
        <f t="shared" si="29"/>
        <v>0</v>
      </c>
      <c r="E663" s="318" t="str">
        <f>VLOOKUP("[Stk]",Sprachindex!$A:$Z,Haftungsausschluß!$O$6,FALSE)</f>
        <v>[Stk]</v>
      </c>
      <c r="F663" s="318" t="str">
        <f>IF($L$14=1,Preisliste!$E240,Preisliste!$F240)</f>
        <v>-</v>
      </c>
      <c r="G663" s="988" t="str">
        <f>VLOOKUP("Steher VARIO 15° 50 Sonderlänge exkl. Dichtung, (Stangenware)",Sprachindex!$A:$Z,Haftungsausschluß!$O$6,FALSE)</f>
        <v>Steher VARIO 15° 50 Sonderlänge exkl. Dichtung, (Stangenware)</v>
      </c>
      <c r="H663" s="989"/>
      <c r="I663" s="989"/>
      <c r="J663" s="989"/>
      <c r="K663" s="989"/>
      <c r="L663" s="989"/>
      <c r="M663" s="990"/>
      <c r="N663" s="511"/>
      <c r="O663" s="512"/>
      <c r="P663" s="324"/>
    </row>
    <row r="664" spans="2:33" ht="32.1" hidden="1" customHeight="1">
      <c r="B664" s="615"/>
      <c r="C664" s="523"/>
      <c r="D664" s="612">
        <f t="shared" si="29"/>
        <v>0</v>
      </c>
      <c r="E664" s="318" t="str">
        <f>VLOOKUP("[Stk]",Sprachindex!$A:$Z,Haftungsausschluß!$O$6,FALSE)</f>
        <v>[Stk]</v>
      </c>
      <c r="F664" s="318" t="str">
        <f>IF($L$14=1,Preisliste!$E241,Preisliste!$F241)</f>
        <v>-</v>
      </c>
      <c r="G664" s="988" t="str">
        <f>VLOOKUP("Steher VARIO 30° 50 Sonderlänge exkl. Dichtung, (Stangenware)",Sprachindex!$A:$Z,Haftungsausschluß!$O$6,FALSE)</f>
        <v>Steher VARIO 30° 50 Sonderlänge exkl. Dichtung, (Stangenware)</v>
      </c>
      <c r="H664" s="989"/>
      <c r="I664" s="989"/>
      <c r="J664" s="989"/>
      <c r="K664" s="989"/>
      <c r="L664" s="989"/>
      <c r="M664" s="990"/>
      <c r="N664" s="511"/>
      <c r="O664" s="512"/>
      <c r="P664" s="324"/>
    </row>
    <row r="665" spans="2:33" ht="32.1" hidden="1" customHeight="1">
      <c r="B665" s="615"/>
      <c r="C665" s="523"/>
      <c r="D665" s="612">
        <f t="shared" si="29"/>
        <v>0</v>
      </c>
      <c r="E665" s="318" t="str">
        <f>VLOOKUP("[Stk]",Sprachindex!$A:$Z,Haftungsausschluß!$O$6,FALSE)</f>
        <v>[Stk]</v>
      </c>
      <c r="F665" s="318" t="str">
        <f>IF($L$14=1,Preisliste!$E242,Preisliste!$F242)</f>
        <v>-</v>
      </c>
      <c r="G665" s="988" t="str">
        <f>VLOOKUP("Steher VARIO 45° 50 Sonderlänge exkl. Dichtung, (Stangenware)",Sprachindex!$A:$Z,Haftungsausschluß!$O$6,FALSE)</f>
        <v>Steher VARIO 45° 50 Sonderlänge exkl. Dichtung, (Stangenware)</v>
      </c>
      <c r="H665" s="989"/>
      <c r="I665" s="989"/>
      <c r="J665" s="989"/>
      <c r="K665" s="989"/>
      <c r="L665" s="989"/>
      <c r="M665" s="990"/>
      <c r="N665" s="511"/>
      <c r="O665" s="512"/>
      <c r="P665" s="324"/>
    </row>
    <row r="666" spans="2:33" ht="32.1" hidden="1" customHeight="1">
      <c r="B666" s="615"/>
      <c r="C666" s="523"/>
      <c r="D666" s="612">
        <f t="shared" si="29"/>
        <v>0</v>
      </c>
      <c r="E666" s="318" t="str">
        <f>VLOOKUP("[Stk]",Sprachindex!$A:$Z,Haftungsausschluß!$O$6,FALSE)</f>
        <v>[Stk]</v>
      </c>
      <c r="F666" s="318" t="str">
        <f>IF($L$14=1,Preisliste!$E243,Preisliste!$F243)</f>
        <v>-</v>
      </c>
      <c r="G666" s="988" t="str">
        <f>VLOOKUP("Steher VARIO 60° 50 Sonderlänge exkl. Dichtung, (Stangenware)",Sprachindex!$A:$Z,Haftungsausschluß!$O$6,FALSE)</f>
        <v>Steher VARIO 60° 50 Sonderlänge exkl. Dichtung, (Stangenware)</v>
      </c>
      <c r="H666" s="989"/>
      <c r="I666" s="989"/>
      <c r="J666" s="989"/>
      <c r="K666" s="989"/>
      <c r="L666" s="989"/>
      <c r="M666" s="990"/>
      <c r="N666" s="511"/>
      <c r="O666" s="512"/>
      <c r="P666" s="324"/>
    </row>
    <row r="667" spans="2:33" ht="32.1" hidden="1" customHeight="1">
      <c r="B667" s="615"/>
      <c r="C667" s="523"/>
      <c r="D667" s="612">
        <f t="shared" si="29"/>
        <v>0</v>
      </c>
      <c r="E667" s="318" t="str">
        <f>VLOOKUP("[Stk]",Sprachindex!$A:$Z,Haftungsausschluß!$O$6,FALSE)</f>
        <v>[Stk]</v>
      </c>
      <c r="F667" s="318" t="str">
        <f>IF($L$14=1,Preisliste!$E244,Preisliste!$F244)</f>
        <v>-</v>
      </c>
      <c r="G667" s="988" t="str">
        <f>VLOOKUP("Steher VARIO 75° 50 Sonderlänge exkl. Dichtung, (Stangenware)",Sprachindex!$A:$Z,Haftungsausschluß!$O$6,FALSE)</f>
        <v>Steher VARIO 75° 50 Sonderlänge exkl. Dichtung, (Stangenware)</v>
      </c>
      <c r="H667" s="989"/>
      <c r="I667" s="989"/>
      <c r="J667" s="989"/>
      <c r="K667" s="989"/>
      <c r="L667" s="989"/>
      <c r="M667" s="990"/>
      <c r="N667" s="511"/>
      <c r="O667" s="512"/>
      <c r="P667" s="324"/>
    </row>
    <row r="668" spans="2:33" ht="32.1" hidden="1" customHeight="1" thickBot="1">
      <c r="B668" s="692"/>
      <c r="C668" s="693"/>
      <c r="D668" s="694"/>
      <c r="E668" s="695" t="str">
        <f>VLOOKUP("Pa",Sprachindex!$A:$Z,Haftungsausschluß!$O$6,FALSE)</f>
        <v>Pa</v>
      </c>
      <c r="F668" s="695" t="s">
        <v>2742</v>
      </c>
      <c r="G668" s="996" t="str">
        <f>VLOOKUP("Frachtkosten",Sprachindex!$A:$Z,Haftungsausschluß!$O$6,FALSE)</f>
        <v>Frachtkosten</v>
      </c>
      <c r="H668" s="996"/>
      <c r="I668" s="996"/>
      <c r="J668" s="996"/>
      <c r="K668" s="996"/>
      <c r="L668" s="996"/>
      <c r="M668" s="996"/>
      <c r="N668" s="718"/>
      <c r="O668" s="719"/>
      <c r="P668" s="324"/>
    </row>
    <row r="669" spans="2:33" ht="17.25" customHeight="1">
      <c r="B669" s="330">
        <v>1</v>
      </c>
      <c r="C669" s="331"/>
      <c r="D669" s="331"/>
      <c r="E669" s="331"/>
      <c r="F669" s="332"/>
      <c r="G669" s="332"/>
      <c r="H669" s="332"/>
      <c r="I669" s="332"/>
      <c r="J669" s="332"/>
      <c r="K669" s="332"/>
      <c r="L669" s="332"/>
      <c r="M669" s="332"/>
      <c r="N669" s="705" t="str">
        <f>IF(AND(Q4=1,OR(Q5=1,AJ205&gt;=300),(Q7-O208-O209-O210)&gt;=Preisliste!G176,P11=0),AA669,AB669)</f>
        <v>Summe</v>
      </c>
      <c r="O669" s="706">
        <f>Q7</f>
        <v>0</v>
      </c>
      <c r="P669" s="688"/>
      <c r="Q669" s="314"/>
      <c r="R669" s="314"/>
      <c r="S669" s="348"/>
      <c r="T669" s="288"/>
      <c r="U669" s="288"/>
      <c r="V669" s="288"/>
      <c r="W669" s="288"/>
      <c r="X669" s="288"/>
      <c r="AA669" s="711" t="str">
        <f>VLOOKUP("Endsumme exkl. MwSt.",Sprachindex!$A:$Z,Haftungsausschluß!$O$6,FALSE)</f>
        <v>Endsumme exkl. MwSt.</v>
      </c>
      <c r="AB669" s="711" t="str">
        <f>VLOOKUP("Summe",Sprachindex!$A:$Z,Haftungsausschluß!$O$6,FALSE)</f>
        <v>Summe</v>
      </c>
      <c r="AC669" s="712"/>
      <c r="AD669" s="712"/>
      <c r="AE669" s="356"/>
      <c r="AF669" s="707"/>
      <c r="AG669" s="707"/>
    </row>
    <row r="670" spans="2:33" ht="16.8">
      <c r="B670" s="333">
        <v>1</v>
      </c>
      <c r="C670" s="334"/>
      <c r="D670" s="335"/>
      <c r="E670" s="334"/>
      <c r="F670" s="336"/>
      <c r="G670" s="336"/>
      <c r="H670" s="336"/>
      <c r="I670" s="336"/>
      <c r="J670" s="336"/>
      <c r="K670" s="336"/>
      <c r="L670" s="336"/>
      <c r="M670" s="336"/>
      <c r="N670" s="707" t="str">
        <f>IF(N669=AB669,IF(P11&lt;&gt;0,AA670,IF((Q7-O208-O209-O210)&lt;Preisliste!G176,AB670,IF(AND(Q5=2,AJ205&lt;Preisliste!G171),AC670,IF(Q4=2,AD670,0)))),"")</f>
        <v>Rabatt -10 %</v>
      </c>
      <c r="O670" s="708">
        <f>IF(N670=AA670,O669/100*P11,IF(N670=AB670,Preisliste!G175,IF(N670=AC670,Preisliste!G170,IF(N670=AD670,O669/100*Haftungsausschluß!J31,""))))</f>
        <v>0</v>
      </c>
      <c r="P670" s="689">
        <f>IF(Haftungsausschluß!$O$6=7,27,20)</f>
        <v>20</v>
      </c>
      <c r="Q670" s="314"/>
      <c r="R670" s="314"/>
      <c r="S670" s="348"/>
      <c r="T670" s="288"/>
      <c r="U670" s="288"/>
      <c r="V670" s="288"/>
      <c r="W670" s="288"/>
      <c r="X670" s="288"/>
      <c r="AA670" s="711" t="str">
        <f>VLOOKUP("Rabatt",Sprachindex!$A:$Z,Haftungsausschluß!$O$6,FALSE) &amp; " " &amp; P11&amp; " %"</f>
        <v>Rabatt -10 %</v>
      </c>
      <c r="AB670" s="711" t="str">
        <f>VLOOKUP("Frachtkosten",Sprachindex!$A:$Z,Haftungsausschluß!$O$6,FALSE)</f>
        <v>Frachtkosten</v>
      </c>
      <c r="AC670" s="711" t="str">
        <f>VLOOKUP("Beschichtungspauschale",Sprachindex!$A:$Z,Haftungsausschluß!$O$6,FALSE)</f>
        <v>Beschichtungspauschale</v>
      </c>
      <c r="AD670" s="711" t="str">
        <f>"+ " &amp;Haftungsausschluß!J31 &amp; " % " &amp; VLOOKUP("MwSt.",Sprachindex!$A:$Z,Haftungsausschluß!$O$6,FALSE)</f>
        <v>+ 20 % MwSt.</v>
      </c>
      <c r="AE670" s="713"/>
      <c r="AF670" s="707"/>
      <c r="AG670" s="707"/>
    </row>
    <row r="671" spans="2:33" ht="16.8">
      <c r="B671" s="333">
        <v>1</v>
      </c>
      <c r="C671" s="334"/>
      <c r="D671" s="334"/>
      <c r="E671" s="334"/>
      <c r="F671" s="336"/>
      <c r="G671" s="336"/>
      <c r="H671" s="336"/>
      <c r="I671" s="336"/>
      <c r="J671" s="336"/>
      <c r="K671" s="336"/>
      <c r="L671" s="336"/>
      <c r="M671" s="336"/>
      <c r="N671" s="707" t="str">
        <f>IF(AND(Q4=1,AND(Q5=2,AJ205&lt;Preisliste!G171),N670&lt;&gt;AC670),AC671,IF(AND(Q4=1,(Q7-O208-O209-O210)&lt;Preisliste!G176,N670&lt;&gt;AB670),AB671,IF(AND(Q4=1,OR(N670=AA670,N670=AB670,N670=AC670)),AA671,IF(AND(N670=AD670,Q4=2),AF671,IF(OR(AND((Q7-O208-O209-O210)&lt;Preisliste!G176,P11=0,OR(Q5=1,AND(Q5=2,Q6&gt;Preisliste!G171)))),AE671,IF(OR(AND((Q7-O208-O209-O210)&gt;=Preisliste!G176,P11&lt;&gt;0,OR(Q5=1,AND(Q5=2,Q6&gt;Preisliste!G171)))),AE671,IF(OR(AND((Q7-O208-O209-O210)&gt;=Preisliste!G176,P11=0,AND(Q5=2,Q6&lt;Preisliste!G171))),AE671,IF(OR(AND((Q7-O208-O209-O210)&gt;=Preisliste!G176,P11&lt;&gt;0,AND(Q5=2,Q6&lt;Preisliste!G171))),AC671,IF(OR(AND((Q7-O208-O209-O210)&lt;Preisliste!G176,P11&lt;&gt;0,OR(Q5=1,AND(Q5=2,Q6&gt;Preisliste!G171)))),AB671,IF(OR(AND((Q7-O208-O209-O210)&lt;Preisliste!G176,P11&lt;&gt;0,AND(Q5=2,Q6&lt;Preisliste!G171))),AC671,IF(OR(AND((Q7-O208-O209-O210)&lt;Preisliste!G176,P11=0,AND(Q5=2,Q6&lt;Preisliste!G171))),AC671,"")))))))))))</f>
        <v>Frachtkosten</v>
      </c>
      <c r="O671" s="708">
        <f>IF(N671=AA671,O669+O670,IF(N671=AC671,Preisliste!G170,IF(N671=AB671,Preisliste!G175,IF(N671=AD671,(O669+O670)/100*Haftungsausschluß!J31,IF(N671=AF671,O669+O670,IF(N671=AE671,O669+O670,""))))))</f>
        <v>100</v>
      </c>
      <c r="P671" s="690"/>
      <c r="Q671" s="314"/>
      <c r="R671" s="314"/>
      <c r="S671" s="348"/>
      <c r="T671" s="288"/>
      <c r="U671" s="288"/>
      <c r="V671" s="288"/>
      <c r="W671" s="288"/>
      <c r="X671" s="288"/>
      <c r="AA671" s="711" t="str">
        <f>VLOOKUP("Endsumme exkl. MwSt.",Sprachindex!$A:$Z,Haftungsausschluß!$O$6,FALSE)</f>
        <v>Endsumme exkl. MwSt.</v>
      </c>
      <c r="AB671" s="711" t="str">
        <f>VLOOKUP("Frachtkosten",Sprachindex!$A:$Z,Haftungsausschluß!$O$6,FALSE)</f>
        <v>Frachtkosten</v>
      </c>
      <c r="AC671" s="711" t="str">
        <f>VLOOKUP("Beschichtungspauschale",Sprachindex!$A:$Z,Haftungsausschluß!$O$6,FALSE)</f>
        <v>Beschichtungspauschale</v>
      </c>
      <c r="AD671" s="711" t="str">
        <f>"+ " &amp;Haftungsausschluß!J31 &amp; " % " &amp; VLOOKUP("MwSt.",Sprachindex!$A:$Z,Haftungsausschluß!$O$6,FALSE)</f>
        <v>+ 20 % MwSt.</v>
      </c>
      <c r="AE671" s="711" t="str">
        <f>VLOOKUP("Zwischensumme",Sprachindex!$A:$Z,Haftungsausschluß!$O$6,FALSE)</f>
        <v>Zwischensumme</v>
      </c>
      <c r="AF671" s="713" t="str">
        <f>VLOOKUP("Endsumme inkl. MwSt.",Sprachindex!$A:$Z,Haftungsausschluß!$O$6,FALSE)</f>
        <v>Endsumme inkl. MwSt.</v>
      </c>
      <c r="AG671" s="707"/>
    </row>
    <row r="672" spans="2:33" ht="14.25" customHeight="1">
      <c r="B672" s="333">
        <v>1</v>
      </c>
      <c r="C672" s="334"/>
      <c r="D672" s="334"/>
      <c r="E672" s="334"/>
      <c r="F672" s="336"/>
      <c r="G672" s="336"/>
      <c r="H672" s="336"/>
      <c r="I672" s="336"/>
      <c r="J672" s="336"/>
      <c r="K672" s="336"/>
      <c r="L672" s="336"/>
      <c r="M672" s="336"/>
      <c r="N672" s="707" t="str">
        <f>IF(AND(P11&lt;&gt;0,AND(Q5=2,Q6&lt;Preisliste!G171),(Q7-O208-O209-O210)&lt;Preisliste!G176),AB672,IF(AND(Q4=1,OR(N671=AC671,N671=AB671)),AA672,IF(N671=AD671,AE672,IF(AND(N671=AC671,O267&gt;=Preisliste!G176),AC672,IF(OR(AND((Q7-O208-O209-O210)&lt;Preisliste!G176,P11&lt;&gt;0,OR(Q5=1,AND(Q5=2,Q6&gt;Preisliste!G171)))),AE671,IF(OR(AND((Q7-O208-O209-O210)&lt;Preisliste!G176,P11=0,AND(Q5=2,Q6&lt;Preisliste!G171))),AE671,IF(N671=AE671,AC672,IF(AND(N670=AA670,N671=AC671),AD672,""))))))))</f>
        <v>Endsumme exkl. MwSt.</v>
      </c>
      <c r="O672" s="708">
        <f>IF(N672=AA672,O669+O670+O671,IF(N672=AB672,Preisliste!G175,IF(N672=AE672,O669+O670+O671,IF(N672=AC672,O671/100*Haftungsausschluß!J31,IF(N672=AD672,O669+O670+O671,"")))))</f>
        <v>100</v>
      </c>
      <c r="P672" s="689"/>
      <c r="Q672" s="314"/>
      <c r="R672" s="314"/>
      <c r="S672" s="348"/>
      <c r="T672" s="288"/>
      <c r="U672" s="288"/>
      <c r="V672" s="288"/>
      <c r="W672" s="288"/>
      <c r="X672" s="288"/>
      <c r="AA672" s="711" t="str">
        <f>VLOOKUP("Endsumme exkl. MwSt.",Sprachindex!$A:$Z,Haftungsausschluß!$O$6,FALSE)</f>
        <v>Endsumme exkl. MwSt.</v>
      </c>
      <c r="AB672" s="711" t="str">
        <f>VLOOKUP("Frachtkosten",Sprachindex!$A:$Z,Haftungsausschluß!$O$6,FALSE)</f>
        <v>Frachtkosten</v>
      </c>
      <c r="AC672" s="711" t="str">
        <f>"+ " &amp;Haftungsausschluß!J31 &amp; " % " &amp; VLOOKUP("MwSt.",Sprachindex!$A:$Z,Haftungsausschluß!$O$6,FALSE)</f>
        <v>+ 20 % MwSt.</v>
      </c>
      <c r="AD672" s="711" t="str">
        <f>VLOOKUP("Zwischensumme",Sprachindex!$A:$Z,Haftungsausschluß!$O$6,FALSE)</f>
        <v>Zwischensumme</v>
      </c>
      <c r="AE672" s="713" t="str">
        <f>VLOOKUP("Endsumme inkl. MwSt.",Sprachindex!$A:$Z,Haftungsausschluß!$O$6,FALSE)</f>
        <v>Endsumme inkl. MwSt.</v>
      </c>
      <c r="AF672" s="707"/>
      <c r="AG672" s="707"/>
    </row>
    <row r="673" spans="2:33" ht="14.25" customHeight="1">
      <c r="B673" s="333">
        <v>1</v>
      </c>
      <c r="C673" s="334"/>
      <c r="D673" s="334"/>
      <c r="E673" s="334"/>
      <c r="F673" s="336"/>
      <c r="G673" s="336"/>
      <c r="H673" s="336"/>
      <c r="I673" s="336"/>
      <c r="J673" s="336"/>
      <c r="K673" s="336"/>
      <c r="L673" s="336"/>
      <c r="M673" s="336"/>
      <c r="N673" s="707" t="str">
        <f>IF(AND(Q4=1,N672=AB671),AA672,IF(N672=AC672,AD673,IF(OR(AND((Q7-O208-O209-O210)&lt;Preisliste!G176,P11&lt;&gt;0,AND(Q5=2,Q6&lt;Preisliste!G171))),AC673,IF(N672=AD672,AB673,""))))</f>
        <v/>
      </c>
      <c r="O673" s="708" t="str">
        <f>IF(N673=AA673,O669+O670+O671+O672,IF(N673=AD673,O671+O672,IF(N673=AB673,O672/100*Haftungsausschluß!J31,IF(N673=AC673,O669+O670+O671+O672,""))))</f>
        <v/>
      </c>
      <c r="P673" s="689"/>
      <c r="Q673" s="314"/>
      <c r="R673" s="314"/>
      <c r="S673" s="348"/>
      <c r="T673" s="288"/>
      <c r="U673" s="288"/>
      <c r="V673" s="288"/>
      <c r="W673" s="288"/>
      <c r="X673" s="288"/>
      <c r="AA673" s="711" t="str">
        <f>VLOOKUP("Endsumme exkl. MwSt.",Sprachindex!$A:$Z,Haftungsausschluß!$O$6,FALSE)</f>
        <v>Endsumme exkl. MwSt.</v>
      </c>
      <c r="AB673" s="711" t="str">
        <f>"+ " &amp;Haftungsausschluß!J31 &amp; " % " &amp; VLOOKUP("MwSt.",Sprachindex!$A:$Z,Haftungsausschluß!$O$6,FALSE)</f>
        <v>+ 20 % MwSt.</v>
      </c>
      <c r="AC673" s="711" t="str">
        <f>VLOOKUP("Zwischensumme",Sprachindex!$A:$Z,Haftungsausschluß!$O$6,FALSE)</f>
        <v>Zwischensumme</v>
      </c>
      <c r="AD673" s="713" t="str">
        <f>VLOOKUP("Endsumme inkl. MwSt.",Sprachindex!$A:$Z,Haftungsausschluß!$O$6,FALSE)</f>
        <v>Endsumme inkl. MwSt.</v>
      </c>
      <c r="AE673" s="356"/>
      <c r="AF673" s="707"/>
      <c r="AG673" s="707"/>
    </row>
    <row r="674" spans="2:33" ht="16.8">
      <c r="B674" s="333">
        <v>1</v>
      </c>
      <c r="C674" s="337"/>
      <c r="D674" s="337"/>
      <c r="E674" s="338"/>
      <c r="F674" s="338"/>
      <c r="G674" s="338"/>
      <c r="H674" s="338"/>
      <c r="I674" s="338"/>
      <c r="J674" s="338"/>
      <c r="K674" s="338"/>
      <c r="L674" s="338"/>
      <c r="M674" s="338"/>
      <c r="N674" s="716" t="str">
        <f>IF(N673=AC673,AA674,IF(N673=AC673,AC674,IF(N673=AB673,AB674,"")))</f>
        <v/>
      </c>
      <c r="O674" s="708" t="str">
        <f>IF(N674=AB674,O672+O673,IF(N674=AA674,O673/100*Haftungsausschluß!J31,""))</f>
        <v/>
      </c>
      <c r="P674" s="691"/>
      <c r="Q674" s="314"/>
      <c r="R674" s="314"/>
      <c r="S674" s="348"/>
      <c r="T674" s="288"/>
      <c r="U674" s="288"/>
      <c r="V674" s="288"/>
      <c r="W674" s="288"/>
      <c r="X674" s="288"/>
      <c r="AA674" s="711" t="str">
        <f>"+ " &amp;Haftungsausschluß!J31 &amp; " % " &amp; VLOOKUP("MwSt.",Sprachindex!$A:$Z,Haftungsausschluß!$O$6,FALSE)</f>
        <v>+ 20 % MwSt.</v>
      </c>
      <c r="AB674" s="713" t="str">
        <f>VLOOKUP("Endsumme inkl. MwSt.",Sprachindex!$A:$Z,Haftungsausschluß!$O$6,FALSE)</f>
        <v>Endsumme inkl. MwSt.</v>
      </c>
      <c r="AC674" s="713"/>
      <c r="AD674" s="712"/>
      <c r="AE674" s="356"/>
      <c r="AF674" s="707"/>
      <c r="AG674" s="707"/>
    </row>
    <row r="675" spans="2:33" ht="16.8">
      <c r="B675" s="333">
        <v>1</v>
      </c>
      <c r="C675" s="337"/>
      <c r="D675" s="337"/>
      <c r="E675" s="338"/>
      <c r="F675" s="338"/>
      <c r="G675" s="338"/>
      <c r="H675" s="338"/>
      <c r="I675" s="338"/>
      <c r="J675" s="338"/>
      <c r="K675" s="338"/>
      <c r="L675" s="338"/>
      <c r="M675" s="338"/>
      <c r="N675" s="716" t="str">
        <f>IF(N674=AA674,AA675,"")</f>
        <v/>
      </c>
      <c r="O675" s="708" t="str">
        <f>IF(N675=AA675,O673+O674,"")</f>
        <v/>
      </c>
      <c r="P675" s="691"/>
      <c r="Q675" s="314"/>
      <c r="R675" s="314"/>
      <c r="S675" s="348"/>
      <c r="T675" s="288"/>
      <c r="U675" s="288"/>
      <c r="V675" s="288"/>
      <c r="W675" s="288"/>
      <c r="X675" s="288"/>
      <c r="AA675" s="712" t="str">
        <f>VLOOKUP("Endsumme inkl. MwSt.",Sprachindex!$A:$Z,Haftungsausschluß!$O$6,FALSE)</f>
        <v>Endsumme inkl. MwSt.</v>
      </c>
      <c r="AB675" s="713"/>
      <c r="AC675" s="713"/>
      <c r="AD675" s="712"/>
      <c r="AE675" s="356"/>
      <c r="AF675" s="707"/>
      <c r="AG675" s="707"/>
    </row>
    <row r="676" spans="2:33" ht="16.8" hidden="1">
      <c r="B676" s="973" t="str">
        <f>IF(Erhebungsbogen!C459&gt;0,Erhebungsbogen!C459," ")</f>
        <v xml:space="preserve"> </v>
      </c>
      <c r="C676" s="973"/>
      <c r="D676" s="973"/>
      <c r="E676" s="973"/>
      <c r="F676" s="973"/>
      <c r="G676" s="973"/>
      <c r="H676" s="973"/>
      <c r="I676" s="973"/>
      <c r="J676" s="973"/>
      <c r="K676" s="973"/>
      <c r="L676" s="973"/>
      <c r="M676" s="973"/>
      <c r="N676" s="973"/>
      <c r="O676" s="973"/>
      <c r="P676" s="699"/>
    </row>
    <row r="677" spans="2:33" ht="16.5" hidden="1" customHeight="1">
      <c r="B677" s="973" t="str">
        <f>IF(Erhebungsbogen!C461&gt;0,Erhebungsbogen!C461," ")</f>
        <v xml:space="preserve"> </v>
      </c>
      <c r="C677" s="973"/>
      <c r="D677" s="973"/>
      <c r="E677" s="973"/>
      <c r="F677" s="973"/>
      <c r="G677" s="973"/>
      <c r="H677" s="973"/>
      <c r="I677" s="973"/>
      <c r="J677" s="973"/>
      <c r="K677" s="973"/>
      <c r="L677" s="973"/>
      <c r="M677" s="973"/>
      <c r="N677" s="973"/>
      <c r="O677" s="973"/>
    </row>
    <row r="678" spans="2:33" ht="16.5" customHeight="1">
      <c r="B678" s="973" t="str">
        <f>VLOOKUP("Hinweis: Angebotsgültigkeit 1 Monat; Lieferzeit auf Anfrage; kein Montagematerial enthalten",Sprachindex!A:Z,Haftungsausschluß!$O$6,FALSE)</f>
        <v>Hinweis: Angebotsgültigkeit 1 Monat; Lieferzeit auf Anfrage; kein Montagematerial enthalten</v>
      </c>
      <c r="C678" s="973"/>
      <c r="D678" s="973"/>
      <c r="E678" s="973"/>
      <c r="F678" s="973"/>
      <c r="G678" s="973"/>
      <c r="H678" s="973"/>
      <c r="I678" s="973"/>
      <c r="J678" s="973"/>
      <c r="K678" s="973"/>
      <c r="L678" s="973"/>
      <c r="M678" s="973"/>
      <c r="N678" s="973"/>
      <c r="O678" s="973"/>
    </row>
    <row r="679" spans="2:33" ht="16.5" customHeight="1">
      <c r="B679" s="333"/>
      <c r="C679" s="337"/>
      <c r="D679" s="339"/>
      <c r="E679" s="339"/>
      <c r="G679" s="290"/>
      <c r="H679" s="338"/>
      <c r="I679" s="338"/>
      <c r="J679" s="338"/>
      <c r="K679" s="338"/>
      <c r="L679" s="338"/>
      <c r="M679" s="338"/>
      <c r="N679" s="338"/>
      <c r="O679" s="338"/>
    </row>
    <row r="680" spans="2:33" ht="16.5" customHeight="1">
      <c r="B680" s="698"/>
      <c r="C680" s="337"/>
      <c r="D680" s="339"/>
      <c r="E680" s="339"/>
      <c r="G680" s="340"/>
      <c r="H680" s="338"/>
      <c r="I680" s="338"/>
      <c r="J680" s="338"/>
      <c r="K680" s="338"/>
      <c r="L680" s="338"/>
      <c r="M680" s="338"/>
      <c r="N680" s="338"/>
      <c r="O680" s="338"/>
    </row>
    <row r="681" spans="2:33" ht="16.8">
      <c r="B681" s="337"/>
      <c r="C681" s="337"/>
      <c r="D681" s="339"/>
      <c r="E681" s="339"/>
      <c r="G681" s="290"/>
      <c r="H681" s="338"/>
      <c r="I681" s="338"/>
      <c r="J681" s="338"/>
      <c r="K681" s="338"/>
      <c r="L681" s="338"/>
      <c r="M681" s="338"/>
      <c r="N681" s="338"/>
      <c r="O681" s="338"/>
    </row>
    <row r="682" spans="2:33" ht="16.8">
      <c r="B682" s="290"/>
      <c r="C682" s="290"/>
      <c r="D682" s="290"/>
      <c r="E682" s="290"/>
      <c r="F682" s="290"/>
      <c r="G682" s="290"/>
      <c r="H682" s="290"/>
      <c r="I682" s="290"/>
      <c r="J682" s="290"/>
      <c r="K682" s="290"/>
      <c r="L682" s="290"/>
      <c r="M682" s="297"/>
      <c r="N682" s="290"/>
      <c r="O682" s="286"/>
    </row>
    <row r="683" spans="2:33" ht="16.8" hidden="1">
      <c r="B683" s="341"/>
      <c r="C683" s="342"/>
      <c r="D683" s="342"/>
      <c r="E683" s="342"/>
      <c r="F683" s="342"/>
      <c r="G683" s="342"/>
      <c r="H683" s="343"/>
      <c r="I683" s="344"/>
      <c r="J683" s="342"/>
      <c r="K683" s="342"/>
      <c r="L683" s="345"/>
      <c r="M683" s="346"/>
      <c r="N683" s="343"/>
      <c r="O683" s="347"/>
    </row>
    <row r="684" spans="2:33" ht="13.8">
      <c r="O684" s="286"/>
    </row>
    <row r="1672" spans="21:22" ht="14.25" customHeight="1">
      <c r="U1672" s="353">
        <v>2</v>
      </c>
      <c r="V1672" s="353">
        <v>20</v>
      </c>
    </row>
    <row r="1673" spans="21:22" ht="14.25" customHeight="1">
      <c r="U1673" s="353">
        <v>2</v>
      </c>
      <c r="V1673" s="353">
        <v>20</v>
      </c>
    </row>
    <row r="1674" spans="21:22" ht="14.25" customHeight="1">
      <c r="U1674" s="353">
        <v>2</v>
      </c>
      <c r="V1674" s="353">
        <v>20</v>
      </c>
    </row>
    <row r="1675" spans="21:22" ht="14.25" customHeight="1">
      <c r="U1675" s="353">
        <v>2</v>
      </c>
      <c r="V1675" s="353">
        <v>20</v>
      </c>
    </row>
    <row r="1676" spans="21:22" ht="14.25" customHeight="1">
      <c r="U1676" s="353">
        <v>2</v>
      </c>
      <c r="V1676" s="353">
        <v>20</v>
      </c>
    </row>
    <row r="1677" spans="21:22" ht="14.25" customHeight="1">
      <c r="U1677" s="353">
        <v>2</v>
      </c>
      <c r="V1677" s="353">
        <v>20</v>
      </c>
    </row>
    <row r="1678" spans="21:22" ht="14.25" customHeight="1">
      <c r="U1678" s="353">
        <v>2</v>
      </c>
      <c r="V1678" s="353">
        <v>20</v>
      </c>
    </row>
    <row r="1679" spans="21:22" ht="14.25" customHeight="1">
      <c r="U1679" s="353">
        <v>2</v>
      </c>
      <c r="V1679" s="353">
        <v>20</v>
      </c>
    </row>
    <row r="1680" spans="21:22" ht="14.25" customHeight="1">
      <c r="U1680" s="353">
        <v>2</v>
      </c>
      <c r="V1680" s="353">
        <v>20</v>
      </c>
    </row>
    <row r="1681" spans="21:22" ht="14.25" customHeight="1">
      <c r="U1681" s="353">
        <v>2</v>
      </c>
      <c r="V1681" s="353">
        <v>20</v>
      </c>
    </row>
    <row r="1682" spans="21:22" ht="14.25" customHeight="1">
      <c r="U1682" s="353">
        <v>2</v>
      </c>
      <c r="V1682" s="353">
        <v>20</v>
      </c>
    </row>
    <row r="1772" spans="21:22" ht="14.25" customHeight="1">
      <c r="U1772" s="353">
        <v>2</v>
      </c>
      <c r="V1772" s="353">
        <v>20</v>
      </c>
    </row>
    <row r="1773" spans="21:22" ht="14.25" customHeight="1">
      <c r="U1773" s="353">
        <v>2</v>
      </c>
      <c r="V1773" s="353">
        <v>20</v>
      </c>
    </row>
    <row r="1774" spans="21:22" ht="14.25" customHeight="1">
      <c r="U1774" s="353">
        <v>2</v>
      </c>
      <c r="V1774" s="353">
        <v>20</v>
      </c>
    </row>
    <row r="1775" spans="21:22" ht="14.25" customHeight="1">
      <c r="U1775" s="353">
        <v>2</v>
      </c>
      <c r="V1775" s="353">
        <v>20</v>
      </c>
    </row>
    <row r="1776" spans="21:22" ht="14.25" customHeight="1">
      <c r="U1776" s="353">
        <v>2</v>
      </c>
      <c r="V1776" s="353">
        <v>20</v>
      </c>
    </row>
    <row r="1777" spans="21:22" ht="14.25" customHeight="1">
      <c r="U1777" s="353">
        <v>2</v>
      </c>
      <c r="V1777" s="353">
        <v>20</v>
      </c>
    </row>
    <row r="1778" spans="21:22" ht="14.25" customHeight="1">
      <c r="U1778" s="353">
        <v>2</v>
      </c>
      <c r="V1778" s="353">
        <v>20</v>
      </c>
    </row>
    <row r="1779" spans="21:22" ht="14.25" customHeight="1">
      <c r="U1779" s="353">
        <v>2</v>
      </c>
      <c r="V1779" s="353">
        <v>20</v>
      </c>
    </row>
    <row r="1780" spans="21:22" ht="14.25" customHeight="1">
      <c r="U1780" s="353">
        <v>2</v>
      </c>
      <c r="V1780" s="353">
        <v>20</v>
      </c>
    </row>
    <row r="1781" spans="21:22" ht="14.25" customHeight="1">
      <c r="U1781" s="353">
        <v>2</v>
      </c>
      <c r="V1781" s="353">
        <v>20</v>
      </c>
    </row>
  </sheetData>
  <autoFilter ref="B14:B678" xr:uid="{00000000-0009-0000-0000-000005000000}">
    <filterColumn colId="0">
      <customFilters>
        <customFilter operator="notEqual" val=" "/>
      </customFilters>
    </filterColumn>
  </autoFilter>
  <mergeCells count="675">
    <mergeCell ref="G611:M611"/>
    <mergeCell ref="G609:M609"/>
    <mergeCell ref="G610:M610"/>
    <mergeCell ref="G658:M658"/>
    <mergeCell ref="G608:M608"/>
    <mergeCell ref="N4:O4"/>
    <mergeCell ref="D6:F6"/>
    <mergeCell ref="D7:F7"/>
    <mergeCell ref="H7:J10"/>
    <mergeCell ref="N7:O7"/>
    <mergeCell ref="D8:F8"/>
    <mergeCell ref="N8:O8"/>
    <mergeCell ref="D10:F10"/>
    <mergeCell ref="G15:M15"/>
    <mergeCell ref="D9:F9"/>
    <mergeCell ref="G16:M16"/>
    <mergeCell ref="G17:M17"/>
    <mergeCell ref="G18:M18"/>
    <mergeCell ref="G19:M19"/>
    <mergeCell ref="G20:M20"/>
    <mergeCell ref="C14:F14"/>
    <mergeCell ref="G27:M27"/>
    <mergeCell ref="G28:M28"/>
    <mergeCell ref="G29:M29"/>
    <mergeCell ref="G30:M30"/>
    <mergeCell ref="G31:M31"/>
    <mergeCell ref="G32:M32"/>
    <mergeCell ref="G21:M21"/>
    <mergeCell ref="G22:M22"/>
    <mergeCell ref="G23:M23"/>
    <mergeCell ref="G24:M24"/>
    <mergeCell ref="G25:M25"/>
    <mergeCell ref="G26:M26"/>
    <mergeCell ref="G39:M39"/>
    <mergeCell ref="G40:M40"/>
    <mergeCell ref="G41:M41"/>
    <mergeCell ref="G42:M42"/>
    <mergeCell ref="G43:M43"/>
    <mergeCell ref="G44:M44"/>
    <mergeCell ref="G33:M33"/>
    <mergeCell ref="G34:M34"/>
    <mergeCell ref="G35:M35"/>
    <mergeCell ref="G36:M36"/>
    <mergeCell ref="G37:M37"/>
    <mergeCell ref="G38:M38"/>
    <mergeCell ref="G51:M51"/>
    <mergeCell ref="G52:M52"/>
    <mergeCell ref="G53:M53"/>
    <mergeCell ref="G54:M54"/>
    <mergeCell ref="G55:M55"/>
    <mergeCell ref="G56:M56"/>
    <mergeCell ref="G45:M45"/>
    <mergeCell ref="G46:M46"/>
    <mergeCell ref="G47:M47"/>
    <mergeCell ref="G48:M48"/>
    <mergeCell ref="G49:M49"/>
    <mergeCell ref="G50:M50"/>
    <mergeCell ref="G63:M63"/>
    <mergeCell ref="G64:M64"/>
    <mergeCell ref="G65:M65"/>
    <mergeCell ref="G66:M66"/>
    <mergeCell ref="G67:M67"/>
    <mergeCell ref="G68:M68"/>
    <mergeCell ref="G57:M57"/>
    <mergeCell ref="G58:M58"/>
    <mergeCell ref="G59:M59"/>
    <mergeCell ref="G60:M60"/>
    <mergeCell ref="G61:M61"/>
    <mergeCell ref="G62:M62"/>
    <mergeCell ref="G75:M75"/>
    <mergeCell ref="G76:M76"/>
    <mergeCell ref="G77:M77"/>
    <mergeCell ref="G78:M78"/>
    <mergeCell ref="G79:M79"/>
    <mergeCell ref="G80:M80"/>
    <mergeCell ref="G69:M69"/>
    <mergeCell ref="G70:M70"/>
    <mergeCell ref="G71:M71"/>
    <mergeCell ref="G72:M72"/>
    <mergeCell ref="G73:M73"/>
    <mergeCell ref="G74:M74"/>
    <mergeCell ref="G87:M87"/>
    <mergeCell ref="G88:M88"/>
    <mergeCell ref="G89:M89"/>
    <mergeCell ref="G90:M90"/>
    <mergeCell ref="G91:M91"/>
    <mergeCell ref="G92:M92"/>
    <mergeCell ref="G81:M81"/>
    <mergeCell ref="G82:M82"/>
    <mergeCell ref="G83:M83"/>
    <mergeCell ref="G84:M84"/>
    <mergeCell ref="G85:M85"/>
    <mergeCell ref="G86:M86"/>
    <mergeCell ref="G99:M99"/>
    <mergeCell ref="G100:M100"/>
    <mergeCell ref="G101:M101"/>
    <mergeCell ref="G102:M102"/>
    <mergeCell ref="G103:M103"/>
    <mergeCell ref="G104:M104"/>
    <mergeCell ref="G93:M93"/>
    <mergeCell ref="G94:M94"/>
    <mergeCell ref="G95:M95"/>
    <mergeCell ref="G96:M96"/>
    <mergeCell ref="G97:M97"/>
    <mergeCell ref="G98:M98"/>
    <mergeCell ref="G111:M111"/>
    <mergeCell ref="G112:M112"/>
    <mergeCell ref="G113:M113"/>
    <mergeCell ref="G114:M114"/>
    <mergeCell ref="G115:M115"/>
    <mergeCell ref="G116:M116"/>
    <mergeCell ref="G105:M105"/>
    <mergeCell ref="G106:M106"/>
    <mergeCell ref="G107:M107"/>
    <mergeCell ref="G108:M108"/>
    <mergeCell ref="G109:M109"/>
    <mergeCell ref="G110:M110"/>
    <mergeCell ref="G123:M123"/>
    <mergeCell ref="G124:M124"/>
    <mergeCell ref="G125:M125"/>
    <mergeCell ref="G126:M126"/>
    <mergeCell ref="G127:M127"/>
    <mergeCell ref="G128:M128"/>
    <mergeCell ref="G117:M117"/>
    <mergeCell ref="G118:M118"/>
    <mergeCell ref="G119:M119"/>
    <mergeCell ref="G120:M120"/>
    <mergeCell ref="G121:M121"/>
    <mergeCell ref="G122:M122"/>
    <mergeCell ref="G135:M135"/>
    <mergeCell ref="G136:M136"/>
    <mergeCell ref="G137:M137"/>
    <mergeCell ref="G138:M138"/>
    <mergeCell ref="G139:M139"/>
    <mergeCell ref="G140:M140"/>
    <mergeCell ref="G129:M129"/>
    <mergeCell ref="G130:M130"/>
    <mergeCell ref="G131:M131"/>
    <mergeCell ref="G132:M132"/>
    <mergeCell ref="G133:M133"/>
    <mergeCell ref="G134:M134"/>
    <mergeCell ref="G147:M147"/>
    <mergeCell ref="G148:M148"/>
    <mergeCell ref="G149:M149"/>
    <mergeCell ref="G150:M150"/>
    <mergeCell ref="G151:M151"/>
    <mergeCell ref="G152:M152"/>
    <mergeCell ref="G141:M141"/>
    <mergeCell ref="G142:M142"/>
    <mergeCell ref="G143:M143"/>
    <mergeCell ref="G144:M144"/>
    <mergeCell ref="G145:M145"/>
    <mergeCell ref="G146:M146"/>
    <mergeCell ref="G159:M159"/>
    <mergeCell ref="G160:M160"/>
    <mergeCell ref="G161:M161"/>
    <mergeCell ref="G162:M162"/>
    <mergeCell ref="G163:M163"/>
    <mergeCell ref="G164:M164"/>
    <mergeCell ref="G153:M153"/>
    <mergeCell ref="G154:M154"/>
    <mergeCell ref="G155:M155"/>
    <mergeCell ref="G156:M156"/>
    <mergeCell ref="G157:M157"/>
    <mergeCell ref="G158:M158"/>
    <mergeCell ref="G171:M171"/>
    <mergeCell ref="G172:M172"/>
    <mergeCell ref="G173:M173"/>
    <mergeCell ref="G174:M174"/>
    <mergeCell ref="G175:M175"/>
    <mergeCell ref="G176:M176"/>
    <mergeCell ref="G165:M165"/>
    <mergeCell ref="G166:M166"/>
    <mergeCell ref="G167:M167"/>
    <mergeCell ref="G168:M168"/>
    <mergeCell ref="G169:M169"/>
    <mergeCell ref="G170:M170"/>
    <mergeCell ref="G183:M183"/>
    <mergeCell ref="G184:M184"/>
    <mergeCell ref="G185:M185"/>
    <mergeCell ref="G186:M186"/>
    <mergeCell ref="G187:M187"/>
    <mergeCell ref="G188:M188"/>
    <mergeCell ref="G177:M177"/>
    <mergeCell ref="G178:M178"/>
    <mergeCell ref="G179:M179"/>
    <mergeCell ref="G180:M180"/>
    <mergeCell ref="G181:M181"/>
    <mergeCell ref="G182:M182"/>
    <mergeCell ref="G195:M195"/>
    <mergeCell ref="G196:M196"/>
    <mergeCell ref="G197:M197"/>
    <mergeCell ref="G198:M198"/>
    <mergeCell ref="G199:M199"/>
    <mergeCell ref="G200:M200"/>
    <mergeCell ref="G189:M189"/>
    <mergeCell ref="G190:M190"/>
    <mergeCell ref="G191:M191"/>
    <mergeCell ref="G192:M192"/>
    <mergeCell ref="G193:M193"/>
    <mergeCell ref="G194:M194"/>
    <mergeCell ref="G201:M201"/>
    <mergeCell ref="G202:M202"/>
    <mergeCell ref="G203:M203"/>
    <mergeCell ref="G204:M204"/>
    <mergeCell ref="G205:M205"/>
    <mergeCell ref="G206:M206"/>
    <mergeCell ref="G406:M406"/>
    <mergeCell ref="G607:M607"/>
    <mergeCell ref="G405:M405"/>
    <mergeCell ref="G403:M403"/>
    <mergeCell ref="G404:M404"/>
    <mergeCell ref="G385:M385"/>
    <mergeCell ref="G386:M386"/>
    <mergeCell ref="G397:M397"/>
    <mergeCell ref="G398:M398"/>
    <mergeCell ref="G377:M377"/>
    <mergeCell ref="G378:M378"/>
    <mergeCell ref="G379:M379"/>
    <mergeCell ref="G380:M380"/>
    <mergeCell ref="G381:M381"/>
    <mergeCell ref="G382:M382"/>
    <mergeCell ref="G399:M399"/>
    <mergeCell ref="G400:M400"/>
    <mergeCell ref="G401:M401"/>
    <mergeCell ref="G402:M402"/>
    <mergeCell ref="G357:M357"/>
    <mergeCell ref="G358:M358"/>
    <mergeCell ref="G359:M359"/>
    <mergeCell ref="G360:M360"/>
    <mergeCell ref="G361:M361"/>
    <mergeCell ref="G362:M362"/>
    <mergeCell ref="G363:M363"/>
    <mergeCell ref="G364:M364"/>
    <mergeCell ref="G365:M365"/>
    <mergeCell ref="G366:M366"/>
    <mergeCell ref="G367:M367"/>
    <mergeCell ref="G368:M368"/>
    <mergeCell ref="G369:M369"/>
    <mergeCell ref="G370:M370"/>
    <mergeCell ref="G371:M371"/>
    <mergeCell ref="G372:M372"/>
    <mergeCell ref="G373:M373"/>
    <mergeCell ref="G374:M374"/>
    <mergeCell ref="G375:M375"/>
    <mergeCell ref="G376:M376"/>
    <mergeCell ref="G387:M387"/>
    <mergeCell ref="G388:M388"/>
    <mergeCell ref="G389:M389"/>
    <mergeCell ref="G390:M390"/>
    <mergeCell ref="G391:M391"/>
    <mergeCell ref="G392:M392"/>
    <mergeCell ref="G393:M393"/>
    <mergeCell ref="G383:M383"/>
    <mergeCell ref="G384:M384"/>
    <mergeCell ref="G319:M319"/>
    <mergeCell ref="G320:M320"/>
    <mergeCell ref="G321:M321"/>
    <mergeCell ref="G322:M322"/>
    <mergeCell ref="G323:M323"/>
    <mergeCell ref="G324:M324"/>
    <mergeCell ref="G325:M325"/>
    <mergeCell ref="G326:M326"/>
    <mergeCell ref="G327:M327"/>
    <mergeCell ref="G310:M310"/>
    <mergeCell ref="G311:M311"/>
    <mergeCell ref="G312:M312"/>
    <mergeCell ref="G313:M313"/>
    <mergeCell ref="G314:M314"/>
    <mergeCell ref="G315:M315"/>
    <mergeCell ref="G316:M316"/>
    <mergeCell ref="G317:M317"/>
    <mergeCell ref="G318:M318"/>
    <mergeCell ref="G225:M225"/>
    <mergeCell ref="G226:M226"/>
    <mergeCell ref="G227:M227"/>
    <mergeCell ref="G228:M228"/>
    <mergeCell ref="G346:M346"/>
    <mergeCell ref="G347:M347"/>
    <mergeCell ref="G348:M348"/>
    <mergeCell ref="G349:M349"/>
    <mergeCell ref="G350:M350"/>
    <mergeCell ref="G337:M337"/>
    <mergeCell ref="G338:M338"/>
    <mergeCell ref="G339:M339"/>
    <mergeCell ref="G340:M340"/>
    <mergeCell ref="G341:M341"/>
    <mergeCell ref="G342:M342"/>
    <mergeCell ref="G343:M343"/>
    <mergeCell ref="G344:M344"/>
    <mergeCell ref="G345:M345"/>
    <mergeCell ref="G328:M328"/>
    <mergeCell ref="G329:M329"/>
    <mergeCell ref="G330:M330"/>
    <mergeCell ref="G331:M331"/>
    <mergeCell ref="G332:M332"/>
    <mergeCell ref="G333:M333"/>
    <mergeCell ref="G216:M216"/>
    <mergeCell ref="G217:M217"/>
    <mergeCell ref="G218:M218"/>
    <mergeCell ref="G219:M219"/>
    <mergeCell ref="G220:M220"/>
    <mergeCell ref="G221:M221"/>
    <mergeCell ref="G222:M222"/>
    <mergeCell ref="G223:M223"/>
    <mergeCell ref="G224:M224"/>
    <mergeCell ref="G207:M207"/>
    <mergeCell ref="G208:M208"/>
    <mergeCell ref="G209:M209"/>
    <mergeCell ref="G210:M210"/>
    <mergeCell ref="G211:M211"/>
    <mergeCell ref="G212:M212"/>
    <mergeCell ref="G213:M213"/>
    <mergeCell ref="G214:M214"/>
    <mergeCell ref="G215:M215"/>
    <mergeCell ref="G229:M229"/>
    <mergeCell ref="G230:M230"/>
    <mergeCell ref="G231:M231"/>
    <mergeCell ref="G232:M232"/>
    <mergeCell ref="G233:M233"/>
    <mergeCell ref="G234:M234"/>
    <mergeCell ref="G235:M235"/>
    <mergeCell ref="G236:M236"/>
    <mergeCell ref="G237:M237"/>
    <mergeCell ref="G238:M238"/>
    <mergeCell ref="G239:M239"/>
    <mergeCell ref="G240:M240"/>
    <mergeCell ref="G241:M241"/>
    <mergeCell ref="G242:M242"/>
    <mergeCell ref="G243:M243"/>
    <mergeCell ref="G244:M244"/>
    <mergeCell ref="G245:M245"/>
    <mergeCell ref="G246:M246"/>
    <mergeCell ref="G247:M247"/>
    <mergeCell ref="G248:M248"/>
    <mergeCell ref="G249:M249"/>
    <mergeCell ref="G250:M250"/>
    <mergeCell ref="G251:M251"/>
    <mergeCell ref="G252:M252"/>
    <mergeCell ref="G253:M253"/>
    <mergeCell ref="G254:M254"/>
    <mergeCell ref="G255:M255"/>
    <mergeCell ref="G256:M256"/>
    <mergeCell ref="G257:M257"/>
    <mergeCell ref="G258:M258"/>
    <mergeCell ref="G259:M259"/>
    <mergeCell ref="G260:M260"/>
    <mergeCell ref="G261:M261"/>
    <mergeCell ref="G262:M262"/>
    <mergeCell ref="G263:M263"/>
    <mergeCell ref="G264:M264"/>
    <mergeCell ref="G265:M265"/>
    <mergeCell ref="G266:M266"/>
    <mergeCell ref="G267:M267"/>
    <mergeCell ref="G268:M268"/>
    <mergeCell ref="G269:M269"/>
    <mergeCell ref="G270:M270"/>
    <mergeCell ref="G271:M271"/>
    <mergeCell ref="G272:M272"/>
    <mergeCell ref="G273:M273"/>
    <mergeCell ref="G274:M274"/>
    <mergeCell ref="G275:M275"/>
    <mergeCell ref="G276:M276"/>
    <mergeCell ref="G277:M277"/>
    <mergeCell ref="G278:M278"/>
    <mergeCell ref="G279:M279"/>
    <mergeCell ref="G280:M280"/>
    <mergeCell ref="G281:M281"/>
    <mergeCell ref="G282:M282"/>
    <mergeCell ref="G283:M283"/>
    <mergeCell ref="G284:M284"/>
    <mergeCell ref="G285:M285"/>
    <mergeCell ref="G286:M286"/>
    <mergeCell ref="G287:M287"/>
    <mergeCell ref="G288:M288"/>
    <mergeCell ref="G289:M289"/>
    <mergeCell ref="G290:M290"/>
    <mergeCell ref="G291:M291"/>
    <mergeCell ref="G292:M292"/>
    <mergeCell ref="G293:M293"/>
    <mergeCell ref="G294:M294"/>
    <mergeCell ref="G295:M295"/>
    <mergeCell ref="G296:M296"/>
    <mergeCell ref="G297:M297"/>
    <mergeCell ref="G298:M298"/>
    <mergeCell ref="G299:M299"/>
    <mergeCell ref="G300:M300"/>
    <mergeCell ref="G301:M301"/>
    <mergeCell ref="G302:M302"/>
    <mergeCell ref="G303:M303"/>
    <mergeCell ref="G304:M304"/>
    <mergeCell ref="G305:M305"/>
    <mergeCell ref="G306:M306"/>
    <mergeCell ref="G407:M407"/>
    <mergeCell ref="G408:M408"/>
    <mergeCell ref="G409:M409"/>
    <mergeCell ref="G355:M355"/>
    <mergeCell ref="G356:M356"/>
    <mergeCell ref="G351:M351"/>
    <mergeCell ref="G352:M352"/>
    <mergeCell ref="G353:M353"/>
    <mergeCell ref="G354:M354"/>
    <mergeCell ref="G334:M334"/>
    <mergeCell ref="G335:M335"/>
    <mergeCell ref="G336:M336"/>
    <mergeCell ref="G394:M394"/>
    <mergeCell ref="G395:M395"/>
    <mergeCell ref="G396:M396"/>
    <mergeCell ref="G307:M307"/>
    <mergeCell ref="G308:M308"/>
    <mergeCell ref="G309:M309"/>
    <mergeCell ref="G410:M410"/>
    <mergeCell ref="G411:M411"/>
    <mergeCell ref="G412:M412"/>
    <mergeCell ref="G413:M413"/>
    <mergeCell ref="G414:M414"/>
    <mergeCell ref="G415:M415"/>
    <mergeCell ref="G416:M416"/>
    <mergeCell ref="G417:M417"/>
    <mergeCell ref="G418:M418"/>
    <mergeCell ref="G419:M419"/>
    <mergeCell ref="G420:M420"/>
    <mergeCell ref="G421:M421"/>
    <mergeCell ref="G422:M422"/>
    <mergeCell ref="G423:M423"/>
    <mergeCell ref="G424:M424"/>
    <mergeCell ref="G425:M425"/>
    <mergeCell ref="G426:M426"/>
    <mergeCell ref="G427:M427"/>
    <mergeCell ref="G428:M428"/>
    <mergeCell ref="G429:M429"/>
    <mergeCell ref="G430:M430"/>
    <mergeCell ref="G431:M431"/>
    <mergeCell ref="G432:M432"/>
    <mergeCell ref="G433:M433"/>
    <mergeCell ref="G434:M434"/>
    <mergeCell ref="G435:M435"/>
    <mergeCell ref="G436:M436"/>
    <mergeCell ref="G437:M437"/>
    <mergeCell ref="G438:M438"/>
    <mergeCell ref="G439:M439"/>
    <mergeCell ref="G440:M440"/>
    <mergeCell ref="G441:M441"/>
    <mergeCell ref="G442:M442"/>
    <mergeCell ref="G443:M443"/>
    <mergeCell ref="G444:M444"/>
    <mergeCell ref="G445:M445"/>
    <mergeCell ref="G446:M446"/>
    <mergeCell ref="G447:M447"/>
    <mergeCell ref="G448:M448"/>
    <mergeCell ref="G449:M449"/>
    <mergeCell ref="G450:M450"/>
    <mergeCell ref="G451:M451"/>
    <mergeCell ref="G452:M452"/>
    <mergeCell ref="G453:M453"/>
    <mergeCell ref="G454:M454"/>
    <mergeCell ref="G455:M455"/>
    <mergeCell ref="G456:M456"/>
    <mergeCell ref="G457:M457"/>
    <mergeCell ref="G458:M458"/>
    <mergeCell ref="G459:M459"/>
    <mergeCell ref="G460:M460"/>
    <mergeCell ref="G461:M461"/>
    <mergeCell ref="G462:M462"/>
    <mergeCell ref="G463:M463"/>
    <mergeCell ref="G464:M464"/>
    <mergeCell ref="G465:M465"/>
    <mergeCell ref="G466:M466"/>
    <mergeCell ref="G467:M467"/>
    <mergeCell ref="G468:M468"/>
    <mergeCell ref="G469:M469"/>
    <mergeCell ref="G470:M470"/>
    <mergeCell ref="G471:M471"/>
    <mergeCell ref="G472:M472"/>
    <mergeCell ref="G473:M473"/>
    <mergeCell ref="G474:M474"/>
    <mergeCell ref="G475:M475"/>
    <mergeCell ref="G476:M476"/>
    <mergeCell ref="G477:M477"/>
    <mergeCell ref="G478:M478"/>
    <mergeCell ref="G479:M479"/>
    <mergeCell ref="G480:M480"/>
    <mergeCell ref="G481:M481"/>
    <mergeCell ref="G482:M482"/>
    <mergeCell ref="G483:M483"/>
    <mergeCell ref="G484:M484"/>
    <mergeCell ref="G485:M485"/>
    <mergeCell ref="G486:M486"/>
    <mergeCell ref="G487:M487"/>
    <mergeCell ref="G488:M488"/>
    <mergeCell ref="G489:M489"/>
    <mergeCell ref="G490:M490"/>
    <mergeCell ref="G491:M491"/>
    <mergeCell ref="G492:M492"/>
    <mergeCell ref="G493:M493"/>
    <mergeCell ref="G494:M494"/>
    <mergeCell ref="G495:M495"/>
    <mergeCell ref="G496:M496"/>
    <mergeCell ref="G497:M497"/>
    <mergeCell ref="G498:M498"/>
    <mergeCell ref="G499:M499"/>
    <mergeCell ref="G500:M500"/>
    <mergeCell ref="G501:M501"/>
    <mergeCell ref="G502:M502"/>
    <mergeCell ref="G503:M503"/>
    <mergeCell ref="G504:M504"/>
    <mergeCell ref="G505:M505"/>
    <mergeCell ref="G506:M506"/>
    <mergeCell ref="G507:M507"/>
    <mergeCell ref="G508:M508"/>
    <mergeCell ref="G509:M509"/>
    <mergeCell ref="G510:M510"/>
    <mergeCell ref="G511:M511"/>
    <mergeCell ref="G512:M512"/>
    <mergeCell ref="G513:M513"/>
    <mergeCell ref="G514:M514"/>
    <mergeCell ref="G515:M515"/>
    <mergeCell ref="G516:M516"/>
    <mergeCell ref="G517:M517"/>
    <mergeCell ref="G518:M518"/>
    <mergeCell ref="G519:M519"/>
    <mergeCell ref="G520:M520"/>
    <mergeCell ref="G521:M521"/>
    <mergeCell ref="G522:M522"/>
    <mergeCell ref="G523:M523"/>
    <mergeCell ref="G524:M524"/>
    <mergeCell ref="G525:M525"/>
    <mergeCell ref="G526:M526"/>
    <mergeCell ref="G527:M527"/>
    <mergeCell ref="G528:M528"/>
    <mergeCell ref="G529:M529"/>
    <mergeCell ref="G530:M530"/>
    <mergeCell ref="G531:M531"/>
    <mergeCell ref="G532:M532"/>
    <mergeCell ref="G533:M533"/>
    <mergeCell ref="G534:M534"/>
    <mergeCell ref="G535:M535"/>
    <mergeCell ref="G536:M536"/>
    <mergeCell ref="G537:M537"/>
    <mergeCell ref="G538:M538"/>
    <mergeCell ref="G539:M539"/>
    <mergeCell ref="G540:M540"/>
    <mergeCell ref="G541:M541"/>
    <mergeCell ref="G542:M542"/>
    <mergeCell ref="G543:M543"/>
    <mergeCell ref="G544:M544"/>
    <mergeCell ref="G545:M545"/>
    <mergeCell ref="G546:M546"/>
    <mergeCell ref="G547:M547"/>
    <mergeCell ref="G548:M548"/>
    <mergeCell ref="G549:M549"/>
    <mergeCell ref="G550:M550"/>
    <mergeCell ref="G551:M551"/>
    <mergeCell ref="G552:M552"/>
    <mergeCell ref="G553:M553"/>
    <mergeCell ref="G568:M568"/>
    <mergeCell ref="G569:M569"/>
    <mergeCell ref="G570:M570"/>
    <mergeCell ref="G571:M571"/>
    <mergeCell ref="G554:M554"/>
    <mergeCell ref="G555:M555"/>
    <mergeCell ref="G556:M556"/>
    <mergeCell ref="G557:M557"/>
    <mergeCell ref="G558:M558"/>
    <mergeCell ref="G559:M559"/>
    <mergeCell ref="G560:M560"/>
    <mergeCell ref="G561:M561"/>
    <mergeCell ref="G562:M562"/>
    <mergeCell ref="G601:M601"/>
    <mergeCell ref="G602:M602"/>
    <mergeCell ref="G603:M603"/>
    <mergeCell ref="G604:M604"/>
    <mergeCell ref="G605:M605"/>
    <mergeCell ref="G606:M606"/>
    <mergeCell ref="Q15:R15"/>
    <mergeCell ref="G590:M590"/>
    <mergeCell ref="G591:M591"/>
    <mergeCell ref="G592:M592"/>
    <mergeCell ref="G593:M593"/>
    <mergeCell ref="G594:M594"/>
    <mergeCell ref="G595:M595"/>
    <mergeCell ref="G596:M596"/>
    <mergeCell ref="G597:M597"/>
    <mergeCell ref="G598:M598"/>
    <mergeCell ref="G581:M581"/>
    <mergeCell ref="G582:M582"/>
    <mergeCell ref="G583:M583"/>
    <mergeCell ref="G584:M584"/>
    <mergeCell ref="G585:M585"/>
    <mergeCell ref="G586:M586"/>
    <mergeCell ref="G587:M587"/>
    <mergeCell ref="G588:M588"/>
    <mergeCell ref="S15:T15"/>
    <mergeCell ref="U15:V15"/>
    <mergeCell ref="W15:X15"/>
    <mergeCell ref="AA16:AB16"/>
    <mergeCell ref="AD16:AE16"/>
    <mergeCell ref="AG16:AH16"/>
    <mergeCell ref="AJ16:AK16"/>
    <mergeCell ref="G599:M599"/>
    <mergeCell ref="G600:M600"/>
    <mergeCell ref="G589:M589"/>
    <mergeCell ref="G572:M572"/>
    <mergeCell ref="G573:M573"/>
    <mergeCell ref="G574:M574"/>
    <mergeCell ref="G575:M575"/>
    <mergeCell ref="G576:M576"/>
    <mergeCell ref="G577:M577"/>
    <mergeCell ref="G578:M578"/>
    <mergeCell ref="G579:M579"/>
    <mergeCell ref="G580:M580"/>
    <mergeCell ref="G563:M563"/>
    <mergeCell ref="G564:M564"/>
    <mergeCell ref="G565:M565"/>
    <mergeCell ref="G566:M566"/>
    <mergeCell ref="G567:M567"/>
    <mergeCell ref="G612:M612"/>
    <mergeCell ref="G657:M657"/>
    <mergeCell ref="G655:M655"/>
    <mergeCell ref="G656:M656"/>
    <mergeCell ref="G650:M650"/>
    <mergeCell ref="G651:M651"/>
    <mergeCell ref="G654:M654"/>
    <mergeCell ref="G637:M637"/>
    <mergeCell ref="G638:M638"/>
    <mergeCell ref="G646:M646"/>
    <mergeCell ref="G647:M647"/>
    <mergeCell ref="G648:M648"/>
    <mergeCell ref="G649:M649"/>
    <mergeCell ref="G625:M625"/>
    <mergeCell ref="G626:M626"/>
    <mergeCell ref="G627:M627"/>
    <mergeCell ref="G628:M628"/>
    <mergeCell ref="G629:M629"/>
    <mergeCell ref="G630:M630"/>
    <mergeCell ref="G631:M631"/>
    <mergeCell ref="G632:M632"/>
    <mergeCell ref="G633:M633"/>
    <mergeCell ref="G634:M634"/>
    <mergeCell ref="G635:M635"/>
    <mergeCell ref="G636:M636"/>
    <mergeCell ref="G613:M613"/>
    <mergeCell ref="G614:M614"/>
    <mergeCell ref="G615:M615"/>
    <mergeCell ref="G616:M616"/>
    <mergeCell ref="G617:M617"/>
    <mergeCell ref="G618:M618"/>
    <mergeCell ref="G619:M619"/>
    <mergeCell ref="G620:M620"/>
    <mergeCell ref="G621:M621"/>
    <mergeCell ref="G622:M622"/>
    <mergeCell ref="G623:M623"/>
    <mergeCell ref="G624:M624"/>
    <mergeCell ref="G668:M668"/>
    <mergeCell ref="B676:O676"/>
    <mergeCell ref="B677:O677"/>
    <mergeCell ref="B678:O678"/>
    <mergeCell ref="G639:M639"/>
    <mergeCell ref="G640:M640"/>
    <mergeCell ref="G641:M641"/>
    <mergeCell ref="G642:M642"/>
    <mergeCell ref="G643:M643"/>
    <mergeCell ref="G644:M644"/>
    <mergeCell ref="G645:M645"/>
    <mergeCell ref="G652:M652"/>
    <mergeCell ref="G653:M653"/>
    <mergeCell ref="G659:M659"/>
    <mergeCell ref="G660:M660"/>
    <mergeCell ref="G661:M661"/>
    <mergeCell ref="G662:M662"/>
    <mergeCell ref="G663:M663"/>
    <mergeCell ref="G664:M664"/>
    <mergeCell ref="G665:M665"/>
    <mergeCell ref="G666:M666"/>
    <mergeCell ref="G667:M667"/>
  </mergeCells>
  <conditionalFormatting sqref="M671:O671">
    <cfRule type="expression" dxfId="23" priority="4">
      <formula>$N$671=$AE$671</formula>
    </cfRule>
    <cfRule type="expression" dxfId="22" priority="5">
      <formula>$N$671=$AF$671</formula>
    </cfRule>
    <cfRule type="expression" dxfId="21" priority="6">
      <formula>$N$671=$AA$671</formula>
    </cfRule>
  </conditionalFormatting>
  <conditionalFormatting sqref="M672:O672">
    <cfRule type="expression" dxfId="20" priority="7">
      <formula>$N$672=$AD$672</formula>
    </cfRule>
    <cfRule type="expression" dxfId="19" priority="8">
      <formula>$N$672=$AA$672</formula>
    </cfRule>
  </conditionalFormatting>
  <conditionalFormatting sqref="M673:O673">
    <cfRule type="expression" dxfId="18" priority="9">
      <formula>$N$673=$AC$673</formula>
    </cfRule>
    <cfRule type="expression" dxfId="17" priority="10">
      <formula>$N$673=$AD$673</formula>
    </cfRule>
    <cfRule type="expression" dxfId="16" priority="11">
      <formula>$N$673=$AA$673</formula>
    </cfRule>
  </conditionalFormatting>
  <conditionalFormatting sqref="M674:O674">
    <cfRule type="expression" dxfId="15" priority="12">
      <formula>$N$674=$AB$674</formula>
    </cfRule>
  </conditionalFormatting>
  <conditionalFormatting sqref="M675:O675">
    <cfRule type="expression" dxfId="14" priority="13">
      <formula>$N$675=$AA$675</formula>
    </cfRule>
  </conditionalFormatting>
  <pageMargins left="0.39370078740157483" right="0.39370078740157483" top="0.78740157480314965" bottom="0.78740157480314965" header="0.31496062992125984" footer="0.31496062992125984"/>
  <pageSetup paperSize="9" scale="52" fitToHeight="0" orientation="portrait" r:id="rId5"/>
  <headerFooter>
    <oddFooter>&amp;LAnwendungstechnik&amp;CStand: 03.05.2022&amp;RVersion: 03.05.2022</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49153" r:id="rId8" name="Button 1">
              <controlPr defaultSize="0" print="0" autoFill="0" autoPict="0" macro="[0]!Drucken3">
                <anchor moveWithCells="1" sizeWithCells="1">
                  <from>
                    <xdr:col>2</xdr:col>
                    <xdr:colOff>647700</xdr:colOff>
                    <xdr:row>11</xdr:row>
                    <xdr:rowOff>0</xdr:rowOff>
                  </from>
                  <to>
                    <xdr:col>5</xdr:col>
                    <xdr:colOff>914400</xdr:colOff>
                    <xdr:row>12</xdr:row>
                    <xdr:rowOff>160020</xdr:rowOff>
                  </to>
                </anchor>
              </controlPr>
            </control>
          </mc:Choice>
        </mc:AlternateContent>
        <mc:AlternateContent xmlns:mc="http://schemas.openxmlformats.org/markup-compatibility/2006">
          <mc:Choice Requires="x14">
            <control shapeId="49154" r:id="rId9" name="Option Button 2">
              <controlPr defaultSize="0" autoFill="0" autoLine="0" autoPict="0">
                <anchor moveWithCells="1">
                  <from>
                    <xdr:col>15</xdr:col>
                    <xdr:colOff>251460</xdr:colOff>
                    <xdr:row>4</xdr:row>
                    <xdr:rowOff>0</xdr:rowOff>
                  </from>
                  <to>
                    <xdr:col>15</xdr:col>
                    <xdr:colOff>1021080</xdr:colOff>
                    <xdr:row>5</xdr:row>
                    <xdr:rowOff>0</xdr:rowOff>
                  </to>
                </anchor>
              </controlPr>
            </control>
          </mc:Choice>
        </mc:AlternateContent>
        <mc:AlternateContent xmlns:mc="http://schemas.openxmlformats.org/markup-compatibility/2006">
          <mc:Choice Requires="x14">
            <control shapeId="49155" r:id="rId10" name="Option Button 3">
              <controlPr defaultSize="0" autoFill="0" autoLine="0" autoPict="0">
                <anchor moveWithCells="1">
                  <from>
                    <xdr:col>15</xdr:col>
                    <xdr:colOff>251460</xdr:colOff>
                    <xdr:row>4</xdr:row>
                    <xdr:rowOff>198120</xdr:rowOff>
                  </from>
                  <to>
                    <xdr:col>15</xdr:col>
                    <xdr:colOff>1021080</xdr:colOff>
                    <xdr:row>6</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9" id="{B6421FFC-5F60-4A56-93F7-AE45C55D63CB}">
            <xm:f>Haftungsausschluß!$L$21=1</xm:f>
            <x14:dxf>
              <font>
                <color theme="1"/>
              </font>
            </x14:dxf>
          </x14:cfRule>
          <xm:sqref>P10:P12 P4:P6 N15:O607</xm:sqref>
        </x14:conditionalFormatting>
        <x14:conditionalFormatting xmlns:xm="http://schemas.microsoft.com/office/excel/2006/main">
          <x14:cfRule type="expression" priority="236" id="{4667CFDC-B228-41B3-9840-C3DF94790DB6}">
            <xm:f>Haftungsausschluß!$L$21=1</xm:f>
            <x14:dxf>
              <font>
                <color theme="1"/>
              </font>
            </x14:dxf>
          </x14:cfRule>
          <xm:sqref>N608:O608</xm:sqref>
        </x14:conditionalFormatting>
        <x14:conditionalFormatting xmlns:xm="http://schemas.microsoft.com/office/excel/2006/main">
          <x14:cfRule type="expression" priority="235" id="{3851AF43-A3FD-448B-8D91-D0211BC04071}">
            <xm:f>Haftungsausschluß!$L$21=1</xm:f>
            <x14:dxf>
              <font>
                <color theme="1"/>
              </font>
            </x14:dxf>
          </x14:cfRule>
          <xm:sqref>N609:O610</xm:sqref>
        </x14:conditionalFormatting>
        <x14:conditionalFormatting xmlns:xm="http://schemas.microsoft.com/office/excel/2006/main">
          <x14:cfRule type="expression" priority="234" id="{DB7E8529-D585-4298-8D77-CA42B6C54251}">
            <xm:f>Haftungsausschluß!$L$21=1</xm:f>
            <x14:dxf>
              <font>
                <color theme="1"/>
              </font>
            </x14:dxf>
          </x14:cfRule>
          <xm:sqref>N611:O611</xm:sqref>
        </x14:conditionalFormatting>
        <x14:conditionalFormatting xmlns:xm="http://schemas.microsoft.com/office/excel/2006/main">
          <x14:cfRule type="expression" priority="47" id="{1A87EC91-1446-4CA2-A978-B3BA8D76BA7D}">
            <xm:f>Haftungsausschluß!$L$21=1</xm:f>
            <x14:dxf>
              <font>
                <color theme="1"/>
              </font>
            </x14:dxf>
          </x14:cfRule>
          <xm:sqref>N616:O658 O614:O615</xm:sqref>
        </x14:conditionalFormatting>
        <x14:conditionalFormatting xmlns:xm="http://schemas.microsoft.com/office/excel/2006/main">
          <x14:cfRule type="expression" priority="46" id="{28F01BE4-9BEF-482F-8FBE-6EFB14EECFEA}">
            <xm:f>Haftungsausschluß!$L$21=1</xm:f>
            <x14:dxf>
              <font>
                <color theme="1"/>
              </font>
            </x14:dxf>
          </x14:cfRule>
          <xm:sqref>N612</xm:sqref>
        </x14:conditionalFormatting>
        <x14:conditionalFormatting xmlns:xm="http://schemas.microsoft.com/office/excel/2006/main">
          <x14:cfRule type="expression" priority="45" id="{FBB7072E-7667-445E-A7A4-83AAA5575DFB}">
            <xm:f>Haftungsausschluß!$L$21=1</xm:f>
            <x14:dxf>
              <font>
                <color theme="1"/>
              </font>
            </x14:dxf>
          </x14:cfRule>
          <xm:sqref>O612:O613</xm:sqref>
        </x14:conditionalFormatting>
        <x14:conditionalFormatting xmlns:xm="http://schemas.microsoft.com/office/excel/2006/main">
          <x14:cfRule type="expression" priority="44" id="{7C74650E-9ECB-446B-AAFD-3D942277996B}">
            <xm:f>Haftungsausschluß!$L$21=1</xm:f>
            <x14:dxf>
              <font>
                <color theme="1"/>
              </font>
            </x14:dxf>
          </x14:cfRule>
          <xm:sqref>N668</xm:sqref>
        </x14:conditionalFormatting>
        <x14:conditionalFormatting xmlns:xm="http://schemas.microsoft.com/office/excel/2006/main">
          <x14:cfRule type="expression" priority="43" id="{B7A28C2B-E117-4769-A4ED-90E0D935D434}">
            <xm:f>Haftungsausschluß!$L$21=1</xm:f>
            <x14:dxf>
              <font>
                <color theme="1"/>
              </font>
            </x14:dxf>
          </x14:cfRule>
          <xm:sqref>O668</xm:sqref>
        </x14:conditionalFormatting>
        <x14:conditionalFormatting xmlns:xm="http://schemas.microsoft.com/office/excel/2006/main">
          <x14:cfRule type="expression" priority="14" id="{137250B6-DA72-4F6F-903C-445A195BFE99}">
            <xm:f>Haftungsausschluß!$L$21=1</xm:f>
            <x14:dxf>
              <font>
                <color theme="1"/>
              </font>
            </x14:dxf>
          </x14:cfRule>
          <xm:sqref>N659:O667</xm:sqref>
        </x14:conditionalFormatting>
        <x14:conditionalFormatting xmlns:xm="http://schemas.microsoft.com/office/excel/2006/main">
          <x14:cfRule type="expression" priority="3" id="{F698C439-145F-4B8C-B43C-9FC0AEF6C7F0}">
            <xm:f>Haftungsausschluß!$L$21&lt;&gt;1</xm:f>
            <x14:dxf>
              <font>
                <color theme="0"/>
              </font>
              <fill>
                <patternFill>
                  <bgColor theme="0"/>
                </patternFill>
              </fill>
            </x14:dxf>
          </x14:cfRule>
          <xm:sqref>M669:O675</xm:sqref>
        </x14:conditionalFormatting>
        <x14:conditionalFormatting xmlns:xm="http://schemas.microsoft.com/office/excel/2006/main">
          <x14:cfRule type="expression" priority="2" id="{3DAABD29-5E9D-46FA-A659-8A85155E4067}">
            <xm:f>Haftungsausschluß!$L$21&lt;&gt;1</xm:f>
            <x14:dxf>
              <border>
                <top/>
                <vertical/>
                <horizontal/>
              </border>
            </x14:dxf>
          </x14:cfRule>
          <xm:sqref>N669:O669</xm:sqref>
        </x14:conditionalFormatting>
        <x14:conditionalFormatting xmlns:xm="http://schemas.microsoft.com/office/excel/2006/main">
          <x14:cfRule type="expression" priority="1" id="{587F967B-F2F7-4397-B109-3A8AF56CD3F9}">
            <xm:f>Haftungsausschluß!$L$21=1</xm:f>
            <x14:dxf>
              <font>
                <color theme="1"/>
              </font>
            </x14:dxf>
          </x14:cfRule>
          <xm:sqref>N613:N615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CS206"/>
  <sheetViews>
    <sheetView topLeftCell="C1" zoomScale="85" zoomScaleNormal="85" workbookViewId="0">
      <selection activeCell="AM38" sqref="AM38"/>
    </sheetView>
  </sheetViews>
  <sheetFormatPr baseColWidth="10" defaultColWidth="11.44140625" defaultRowHeight="14.4"/>
  <cols>
    <col min="1" max="1" width="29.5546875" customWidth="1"/>
    <col min="2" max="2" width="10.6640625" customWidth="1"/>
    <col min="5" max="5" width="13.109375" bestFit="1" customWidth="1"/>
    <col min="6" max="7" width="12.109375" bestFit="1" customWidth="1"/>
    <col min="8" max="8" width="13.109375" bestFit="1" customWidth="1"/>
    <col min="9" max="9" width="20.109375" customWidth="1"/>
    <col min="10" max="10" width="16" bestFit="1" customWidth="1"/>
    <col min="11" max="11" width="16" customWidth="1"/>
    <col min="12" max="12" width="35.6640625" bestFit="1" customWidth="1"/>
    <col min="13" max="13" width="32.33203125" bestFit="1" customWidth="1"/>
    <col min="14" max="14" width="52.44140625" bestFit="1" customWidth="1"/>
    <col min="15" max="15" width="17.6640625" bestFit="1" customWidth="1"/>
    <col min="16" max="16" width="21.5546875" bestFit="1" customWidth="1"/>
    <col min="17" max="17" width="21.5546875" customWidth="1"/>
    <col min="18" max="18" width="29.33203125" bestFit="1" customWidth="1"/>
    <col min="19" max="19" width="29.33203125" customWidth="1"/>
    <col min="20" max="20" width="33" bestFit="1" customWidth="1"/>
    <col min="22" max="23" width="20.88671875" bestFit="1" customWidth="1"/>
    <col min="24" max="24" width="29.6640625" bestFit="1" customWidth="1"/>
    <col min="25" max="25" width="18.6640625" bestFit="1" customWidth="1"/>
    <col min="26" max="27" width="26.109375" bestFit="1" customWidth="1"/>
    <col min="28" max="28" width="30" bestFit="1" customWidth="1"/>
    <col min="29" max="30" width="30" customWidth="1"/>
    <col min="31" max="31" width="31" bestFit="1" customWidth="1"/>
    <col min="32" max="33" width="14.5546875" bestFit="1" customWidth="1"/>
    <col min="34" max="34" width="18.44140625" bestFit="1" customWidth="1"/>
    <col min="35" max="35" width="7" bestFit="1" customWidth="1"/>
    <col min="36" max="36" width="21.109375" bestFit="1" customWidth="1"/>
    <col min="37" max="37" width="27.33203125" bestFit="1" customWidth="1"/>
    <col min="38" max="38" width="25" bestFit="1" customWidth="1"/>
    <col min="39" max="39" width="18.6640625" bestFit="1" customWidth="1"/>
    <col min="40" max="40" width="31" bestFit="1" customWidth="1"/>
    <col min="41" max="41" width="26" bestFit="1" customWidth="1"/>
    <col min="42" max="42" width="14.33203125" bestFit="1" customWidth="1"/>
    <col min="43" max="43" width="13.6640625" customWidth="1"/>
    <col min="44" max="44" width="18.88671875" bestFit="1" customWidth="1"/>
    <col min="45" max="45" width="28.33203125" bestFit="1" customWidth="1"/>
    <col min="46" max="46" width="27.33203125" bestFit="1" customWidth="1"/>
    <col min="49" max="49" width="14.5546875" bestFit="1" customWidth="1"/>
    <col min="51" max="51" width="18.88671875" bestFit="1" customWidth="1"/>
    <col min="52" max="52" width="14.33203125" bestFit="1" customWidth="1"/>
    <col min="54" max="54" width="35.109375" bestFit="1" customWidth="1"/>
    <col min="55" max="55" width="32" bestFit="1" customWidth="1"/>
    <col min="56" max="56" width="52.44140625" bestFit="1" customWidth="1"/>
    <col min="57" max="57" width="18" bestFit="1" customWidth="1"/>
    <col min="58" max="58" width="21.109375" bestFit="1" customWidth="1"/>
    <col min="59" max="59" width="14.5546875" bestFit="1" customWidth="1"/>
    <col min="62" max="62" width="25.88671875" bestFit="1" customWidth="1"/>
    <col min="66" max="66" width="29.6640625" bestFit="1" customWidth="1"/>
    <col min="67" max="67" width="18.6640625" bestFit="1" customWidth="1"/>
    <col min="70" max="70" width="23" bestFit="1" customWidth="1"/>
    <col min="73" max="73" width="14" bestFit="1" customWidth="1"/>
    <col min="78" max="78" width="21.109375" bestFit="1" customWidth="1"/>
    <col min="79" max="79" width="27.33203125" bestFit="1" customWidth="1"/>
    <col min="80" max="80" width="25" bestFit="1" customWidth="1"/>
    <col min="81" max="81" width="18.6640625" bestFit="1" customWidth="1"/>
    <col min="82" max="82" width="31" bestFit="1" customWidth="1"/>
    <col min="83" max="83" width="26" bestFit="1" customWidth="1"/>
    <col min="84" max="84" width="11.5546875" bestFit="1" customWidth="1"/>
    <col min="86" max="86" width="18.88671875" bestFit="1" customWidth="1"/>
    <col min="87" max="87" width="28.33203125" bestFit="1" customWidth="1"/>
    <col min="88" max="88" width="27.33203125" bestFit="1" customWidth="1"/>
    <col min="93" max="94" width="6.33203125" customWidth="1"/>
    <col min="95" max="95" width="4.6640625" customWidth="1"/>
    <col min="96" max="96" width="3.44140625" customWidth="1"/>
    <col min="97" max="97" width="35.88671875" customWidth="1"/>
  </cols>
  <sheetData>
    <row r="1" spans="1:97" ht="24.6">
      <c r="A1" s="101" t="s">
        <v>2743</v>
      </c>
      <c r="B1" s="101"/>
    </row>
    <row r="2" spans="1:97" ht="15" thickBot="1">
      <c r="C2" s="102"/>
      <c r="D2" s="102"/>
      <c r="E2" s="103">
        <v>4</v>
      </c>
      <c r="F2" s="103">
        <v>3</v>
      </c>
      <c r="G2" s="103">
        <v>2</v>
      </c>
      <c r="H2" s="103">
        <v>1</v>
      </c>
      <c r="I2" s="104"/>
      <c r="M2" t="str">
        <f>IF('Kalkulation 1'!$AM$17=1,$H$3,IF('Kalkulation 1'!$AM$17=2,$G$3,IF('Kalkulation 1'!$AM$17=3,$F$3,IF('Kalkulation 1'!$AM$17=4,$E$3,0))))</f>
        <v>50/200</v>
      </c>
    </row>
    <row r="3" spans="1:97" ht="24.6">
      <c r="A3" s="104"/>
      <c r="B3" s="104"/>
      <c r="C3" s="105"/>
      <c r="D3" s="106" t="s">
        <v>2744</v>
      </c>
      <c r="E3" s="107" t="s">
        <v>2745</v>
      </c>
      <c r="F3" s="107" t="s">
        <v>2746</v>
      </c>
      <c r="G3" s="108" t="s">
        <v>2747</v>
      </c>
      <c r="H3" s="108" t="s">
        <v>2748</v>
      </c>
      <c r="I3" s="104"/>
      <c r="L3" s="109"/>
      <c r="M3" s="110" t="s">
        <v>2746</v>
      </c>
      <c r="N3" s="111"/>
      <c r="O3" s="110"/>
      <c r="P3" s="112"/>
      <c r="Q3" s="112"/>
      <c r="R3" s="112"/>
      <c r="S3" s="113"/>
    </row>
    <row r="4" spans="1:97" ht="12" customHeight="1">
      <c r="A4" s="104"/>
      <c r="B4" s="104"/>
      <c r="C4" s="105"/>
      <c r="D4" s="106" t="s">
        <v>2749</v>
      </c>
      <c r="E4" s="114">
        <v>3201932</v>
      </c>
      <c r="F4" s="102">
        <v>644509</v>
      </c>
      <c r="G4" s="102">
        <v>826200</v>
      </c>
      <c r="H4" s="102">
        <v>123585</v>
      </c>
      <c r="I4" s="102" t="s">
        <v>2750</v>
      </c>
      <c r="L4" s="115"/>
      <c r="M4" s="116"/>
      <c r="N4" s="116"/>
      <c r="O4" s="116"/>
      <c r="P4" s="117"/>
      <c r="Q4" s="117"/>
      <c r="R4" s="117"/>
      <c r="S4" s="118"/>
    </row>
    <row r="5" spans="1:97" ht="12" customHeight="1">
      <c r="A5" s="102" t="s">
        <v>2751</v>
      </c>
      <c r="B5" s="102"/>
      <c r="C5" s="105"/>
      <c r="D5" s="106"/>
      <c r="E5" s="114"/>
      <c r="F5" s="102"/>
      <c r="G5" s="102"/>
      <c r="H5" s="104"/>
      <c r="I5" s="102"/>
      <c r="L5" s="119" t="s">
        <v>2489</v>
      </c>
      <c r="M5" s="116"/>
      <c r="N5" s="120"/>
      <c r="O5" s="116"/>
      <c r="P5" s="117"/>
      <c r="Q5" s="121" t="s">
        <v>2779</v>
      </c>
      <c r="R5" s="117"/>
      <c r="S5" s="118"/>
    </row>
    <row r="6" spans="1:97" ht="12" customHeight="1">
      <c r="A6" s="102"/>
      <c r="B6" s="102"/>
      <c r="C6" s="105"/>
      <c r="D6" s="106"/>
      <c r="E6" s="114"/>
      <c r="F6" s="102"/>
      <c r="G6" s="102"/>
      <c r="H6" s="104"/>
      <c r="I6" s="102"/>
      <c r="L6" s="122" t="s">
        <v>2772</v>
      </c>
      <c r="M6" s="116"/>
      <c r="N6" s="116"/>
      <c r="O6" s="116"/>
      <c r="P6" s="117"/>
      <c r="Q6" s="123" t="s">
        <v>2077</v>
      </c>
      <c r="R6" s="124">
        <f>Haftungsausschluß!F31</f>
        <v>4</v>
      </c>
      <c r="S6" s="125" t="s">
        <v>2102</v>
      </c>
    </row>
    <row r="7" spans="1:97" ht="12" customHeight="1">
      <c r="A7" s="102" t="s">
        <v>2752</v>
      </c>
      <c r="B7" s="102"/>
      <c r="C7" s="105"/>
      <c r="D7" s="106" t="s">
        <v>2753</v>
      </c>
      <c r="E7" s="114">
        <v>200</v>
      </c>
      <c r="F7" s="102">
        <v>200</v>
      </c>
      <c r="G7" s="102">
        <v>150</v>
      </c>
      <c r="H7" s="102">
        <v>200</v>
      </c>
      <c r="I7" s="102" t="s">
        <v>2754</v>
      </c>
      <c r="L7" s="126" t="s">
        <v>2773</v>
      </c>
      <c r="M7" s="127">
        <v>200</v>
      </c>
      <c r="N7" s="116" t="s">
        <v>2777</v>
      </c>
      <c r="O7" s="116"/>
      <c r="P7" s="117"/>
      <c r="Q7" s="123" t="s">
        <v>2780</v>
      </c>
      <c r="R7" s="124">
        <v>0</v>
      </c>
      <c r="S7" s="125" t="s">
        <v>2782</v>
      </c>
    </row>
    <row r="8" spans="1:97" ht="12" customHeight="1">
      <c r="A8" s="104"/>
      <c r="B8" s="104"/>
      <c r="C8" s="105"/>
      <c r="D8" s="106" t="s">
        <v>2755</v>
      </c>
      <c r="E8" s="114">
        <v>80</v>
      </c>
      <c r="F8" s="102">
        <v>50</v>
      </c>
      <c r="G8" s="102">
        <v>50</v>
      </c>
      <c r="H8" s="102">
        <v>25</v>
      </c>
      <c r="I8" s="102" t="s">
        <v>2754</v>
      </c>
      <c r="L8" s="126" t="s">
        <v>2774</v>
      </c>
      <c r="M8" s="127">
        <v>70000</v>
      </c>
      <c r="N8" s="116" t="s">
        <v>2777</v>
      </c>
      <c r="O8" s="116"/>
      <c r="P8" s="117"/>
      <c r="Q8" s="123" t="s">
        <v>2088</v>
      </c>
      <c r="R8" s="124">
        <f>Haftungsausschluß!F32</f>
        <v>0.4</v>
      </c>
      <c r="S8" s="125" t="s">
        <v>2105</v>
      </c>
      <c r="CO8" s="418"/>
      <c r="CP8" s="418"/>
      <c r="CQ8" s="419"/>
      <c r="CR8" s="418"/>
      <c r="CS8" s="418"/>
    </row>
    <row r="9" spans="1:97" ht="12" customHeight="1">
      <c r="A9" s="128" t="s">
        <v>2756</v>
      </c>
      <c r="B9" s="128"/>
      <c r="C9" s="105"/>
      <c r="D9" s="106" t="s">
        <v>2757</v>
      </c>
      <c r="E9" s="129">
        <v>7.7839999999999998</v>
      </c>
      <c r="F9" s="102">
        <v>4.12</v>
      </c>
      <c r="G9" s="130">
        <v>5.6239999999999997</v>
      </c>
      <c r="H9" s="102">
        <v>2.99</v>
      </c>
      <c r="I9" s="102" t="s">
        <v>2758</v>
      </c>
      <c r="L9" s="126" t="s">
        <v>2775</v>
      </c>
      <c r="M9" s="131">
        <v>1.1000000000000001</v>
      </c>
      <c r="N9" s="116"/>
      <c r="O9" s="116"/>
      <c r="P9" s="117"/>
      <c r="Q9" s="123" t="s">
        <v>2781</v>
      </c>
      <c r="R9" s="132">
        <f>Haftungsausschluß!F30</f>
        <v>1000</v>
      </c>
      <c r="S9" s="125" t="s">
        <v>2100</v>
      </c>
      <c r="CO9" s="41"/>
      <c r="CP9" s="41"/>
      <c r="CQ9" s="41"/>
      <c r="CR9" s="41"/>
      <c r="CS9" s="41"/>
    </row>
    <row r="10" spans="1:97" ht="12" customHeight="1">
      <c r="A10" s="128" t="s">
        <v>2759</v>
      </c>
      <c r="B10" s="128"/>
      <c r="C10" s="105"/>
      <c r="D10" s="106" t="s">
        <v>2760</v>
      </c>
      <c r="E10" s="129">
        <f>1000/E7*E9</f>
        <v>38.92</v>
      </c>
      <c r="F10" s="129">
        <f t="shared" ref="F10:G10" si="0">1000/F7*F9</f>
        <v>20.6</v>
      </c>
      <c r="G10" s="129">
        <f t="shared" si="0"/>
        <v>37.493333333333332</v>
      </c>
      <c r="H10" s="102">
        <v>14.93</v>
      </c>
      <c r="I10" s="130" t="s">
        <v>2758</v>
      </c>
      <c r="L10" s="133" t="s">
        <v>2776</v>
      </c>
      <c r="M10" s="134">
        <f>R9/10^8</f>
        <v>1.0000000000000001E-5</v>
      </c>
      <c r="N10" s="135" t="s">
        <v>2778</v>
      </c>
      <c r="O10" s="136"/>
      <c r="P10" s="137"/>
      <c r="Q10" s="137"/>
      <c r="R10" s="137"/>
      <c r="S10" s="138"/>
      <c r="CO10" s="41"/>
      <c r="CP10" s="41"/>
      <c r="CQ10" s="41"/>
      <c r="CR10" s="41"/>
      <c r="CS10" s="41"/>
    </row>
    <row r="11" spans="1:97" ht="12" customHeight="1">
      <c r="A11" s="139"/>
      <c r="B11" s="139"/>
      <c r="C11" s="105"/>
      <c r="D11" s="106"/>
      <c r="E11" s="114"/>
      <c r="F11" s="102"/>
      <c r="G11" s="102"/>
      <c r="H11" s="102"/>
      <c r="I11" s="104"/>
      <c r="M11" s="140"/>
      <c r="AL11" s="141"/>
      <c r="AM11" s="123"/>
      <c r="AN11" s="142"/>
      <c r="AO11" s="117"/>
      <c r="AP11" s="116"/>
      <c r="CO11" s="41"/>
      <c r="CP11" s="41"/>
      <c r="CQ11" s="41"/>
      <c r="CR11" s="41"/>
      <c r="CS11" s="41"/>
    </row>
    <row r="12" spans="1:97" ht="12" customHeight="1">
      <c r="A12" s="104"/>
      <c r="B12" s="104"/>
      <c r="C12" s="105"/>
      <c r="D12" s="114"/>
      <c r="E12" s="114"/>
      <c r="F12" s="102"/>
      <c r="G12" s="102"/>
      <c r="H12" s="102"/>
      <c r="I12" s="104"/>
      <c r="AL12" s="141"/>
      <c r="AM12" s="121"/>
      <c r="AN12" s="116"/>
      <c r="AO12" s="116"/>
      <c r="AP12" s="116"/>
      <c r="CO12" s="41"/>
      <c r="CP12" s="41"/>
      <c r="CQ12" s="41"/>
      <c r="CR12" s="41"/>
      <c r="CS12" s="41"/>
    </row>
    <row r="13" spans="1:97" ht="12" customHeight="1">
      <c r="A13" s="104"/>
      <c r="B13" s="104"/>
      <c r="C13" s="105"/>
      <c r="D13" s="114"/>
      <c r="E13" s="114"/>
      <c r="F13" s="102"/>
      <c r="G13" s="102"/>
      <c r="H13" s="102"/>
      <c r="I13" s="104"/>
      <c r="AL13" s="141"/>
      <c r="AM13" s="141"/>
      <c r="AP13" s="116"/>
      <c r="CO13" s="41"/>
      <c r="CP13" s="41"/>
      <c r="CQ13" s="41"/>
      <c r="CR13" s="41"/>
      <c r="CS13" s="41"/>
    </row>
    <row r="14" spans="1:97" ht="12" customHeight="1">
      <c r="A14" s="104"/>
      <c r="B14" s="104"/>
      <c r="C14" s="105"/>
      <c r="D14" s="114"/>
      <c r="E14" s="114"/>
      <c r="F14" s="102"/>
      <c r="G14" s="102"/>
      <c r="H14" s="102"/>
      <c r="I14" s="104"/>
      <c r="AL14" s="141"/>
      <c r="AM14" s="141"/>
      <c r="AP14" s="116"/>
      <c r="CO14" s="41"/>
      <c r="CP14" s="41"/>
      <c r="CQ14" s="41"/>
      <c r="CR14" s="41"/>
      <c r="CS14" s="41"/>
    </row>
    <row r="15" spans="1:97" ht="12" customHeight="1">
      <c r="A15" s="104"/>
      <c r="B15" s="104"/>
      <c r="C15" s="105"/>
      <c r="D15" s="114"/>
      <c r="E15" s="114"/>
      <c r="F15" s="102"/>
      <c r="G15" s="102"/>
      <c r="H15" s="102"/>
      <c r="I15" s="104"/>
      <c r="M15" s="143"/>
      <c r="AL15" s="141"/>
      <c r="AM15" s="141"/>
      <c r="AP15" s="116"/>
      <c r="CO15" s="41"/>
      <c r="CP15" s="41"/>
      <c r="CQ15" s="41"/>
      <c r="CR15" s="41"/>
      <c r="CS15" s="41"/>
    </row>
    <row r="16" spans="1:97" ht="12" customHeight="1">
      <c r="A16" s="104"/>
      <c r="B16" s="104"/>
      <c r="C16" s="105"/>
      <c r="D16" s="114"/>
      <c r="E16" s="144"/>
      <c r="F16" s="102"/>
      <c r="G16" s="145"/>
      <c r="H16" s="102"/>
      <c r="I16" s="104"/>
      <c r="AL16" s="141"/>
      <c r="AM16" s="141"/>
      <c r="AP16" s="116"/>
      <c r="CO16" s="41"/>
      <c r="CP16" s="41"/>
      <c r="CQ16" s="41"/>
      <c r="CR16" s="41"/>
      <c r="CS16" s="41"/>
    </row>
    <row r="17" spans="1:58" ht="12" customHeight="1">
      <c r="A17" s="104"/>
      <c r="B17" s="104"/>
      <c r="C17" s="105"/>
      <c r="D17" s="114"/>
      <c r="E17" s="144"/>
      <c r="F17" s="102"/>
      <c r="G17" s="145"/>
      <c r="H17" s="102"/>
      <c r="I17" s="104"/>
      <c r="AL17" s="141"/>
      <c r="AM17" s="141"/>
      <c r="AP17" s="116"/>
    </row>
    <row r="18" spans="1:58" ht="12" customHeight="1">
      <c r="A18" s="104"/>
      <c r="B18" s="104"/>
      <c r="C18" s="105"/>
      <c r="D18" s="114"/>
      <c r="E18" s="144"/>
      <c r="F18" s="102"/>
      <c r="G18" s="145"/>
      <c r="H18" s="102"/>
      <c r="I18" s="104"/>
      <c r="AL18" s="141"/>
      <c r="AM18" s="146"/>
      <c r="AN18" s="146"/>
      <c r="AO18" s="146"/>
      <c r="AP18" s="116"/>
    </row>
    <row r="19" spans="1:58" ht="12" customHeight="1">
      <c r="A19" s="104"/>
      <c r="B19" s="104"/>
      <c r="C19" s="105"/>
      <c r="D19" s="114"/>
      <c r="E19" s="114"/>
      <c r="F19" s="102"/>
      <c r="G19" s="102"/>
      <c r="H19" s="102"/>
      <c r="I19" s="104"/>
      <c r="AL19" s="141"/>
      <c r="AM19" s="141"/>
      <c r="AP19" s="116"/>
    </row>
    <row r="20" spans="1:58">
      <c r="A20" s="104"/>
      <c r="B20" s="104"/>
      <c r="C20" s="105"/>
      <c r="D20" s="106" t="s">
        <v>2761</v>
      </c>
      <c r="E20" s="147" t="s">
        <v>2762</v>
      </c>
      <c r="F20" s="105" t="s">
        <v>2763</v>
      </c>
      <c r="G20" s="105" t="s">
        <v>2763</v>
      </c>
      <c r="H20" s="114" t="s">
        <v>2764</v>
      </c>
      <c r="I20" s="102"/>
      <c r="AL20" s="141"/>
      <c r="AM20" s="141"/>
      <c r="AP20" s="148"/>
    </row>
    <row r="21" spans="1:58">
      <c r="A21" s="104"/>
      <c r="B21" s="104"/>
      <c r="C21" s="105"/>
      <c r="D21" s="114"/>
      <c r="E21" s="149"/>
      <c r="F21" s="150"/>
      <c r="G21" s="150"/>
      <c r="H21" s="129"/>
      <c r="I21" s="102"/>
      <c r="AL21" s="141"/>
      <c r="AM21" s="146"/>
      <c r="AN21" s="151"/>
      <c r="AO21" s="152"/>
      <c r="AP21" s="116"/>
    </row>
    <row r="22" spans="1:58" ht="16.2">
      <c r="A22" s="104"/>
      <c r="B22" s="104"/>
      <c r="C22" s="105"/>
      <c r="D22" s="106" t="s">
        <v>2765</v>
      </c>
      <c r="E22" s="153">
        <v>10515101</v>
      </c>
      <c r="F22" s="154">
        <v>7259076</v>
      </c>
      <c r="G22" s="155">
        <v>7259076</v>
      </c>
      <c r="H22" s="155">
        <v>20794202</v>
      </c>
      <c r="I22" s="102" t="s">
        <v>2750</v>
      </c>
      <c r="AL22" s="141"/>
      <c r="AM22" s="141"/>
      <c r="AP22" s="116"/>
    </row>
    <row r="23" spans="1:58">
      <c r="A23" s="156"/>
      <c r="B23" s="156"/>
      <c r="C23" s="105"/>
      <c r="D23" s="106" t="s">
        <v>2766</v>
      </c>
      <c r="E23" s="153">
        <v>71</v>
      </c>
      <c r="F23" s="154">
        <f>137.1-66.2</f>
        <v>70.899999999999991</v>
      </c>
      <c r="G23" s="154">
        <f>137.1-66.2</f>
        <v>70.899999999999991</v>
      </c>
      <c r="H23" s="157">
        <v>92.75</v>
      </c>
      <c r="I23" s="102" t="s">
        <v>2754</v>
      </c>
      <c r="AL23" s="141"/>
      <c r="AM23" s="141"/>
      <c r="AP23" s="116"/>
    </row>
    <row r="24" spans="1:58">
      <c r="A24" s="104"/>
      <c r="B24" s="104"/>
      <c r="C24" s="102"/>
      <c r="D24" s="106" t="s">
        <v>2767</v>
      </c>
      <c r="E24" s="154">
        <f>E22/E23</f>
        <v>148100.01408450704</v>
      </c>
      <c r="F24" s="154">
        <f t="shared" ref="F24:H24" si="1">F22/F23</f>
        <v>102384.71086036673</v>
      </c>
      <c r="G24" s="155">
        <f t="shared" si="1"/>
        <v>102384.71086036673</v>
      </c>
      <c r="H24" s="155">
        <f t="shared" si="1"/>
        <v>224196.24797843664</v>
      </c>
      <c r="I24" s="102" t="s">
        <v>2768</v>
      </c>
      <c r="AL24" s="141"/>
      <c r="AM24" s="141"/>
      <c r="AP24" s="116"/>
    </row>
    <row r="25" spans="1:58">
      <c r="A25" s="104"/>
      <c r="B25" s="104"/>
      <c r="C25" s="104"/>
      <c r="D25" s="106" t="s">
        <v>2769</v>
      </c>
      <c r="E25" s="158">
        <v>140</v>
      </c>
      <c r="F25" s="158">
        <v>140</v>
      </c>
      <c r="G25" s="158">
        <v>140</v>
      </c>
      <c r="H25" s="104">
        <v>185.5</v>
      </c>
      <c r="I25" s="102" t="s">
        <v>2754</v>
      </c>
      <c r="AL25" s="141"/>
      <c r="AM25" s="141"/>
      <c r="AP25" s="116"/>
    </row>
    <row r="26" spans="1:58">
      <c r="A26" s="104"/>
      <c r="B26" s="104"/>
      <c r="C26" s="104"/>
      <c r="D26" s="106" t="s">
        <v>2770</v>
      </c>
      <c r="E26" s="158">
        <v>11.257999999999999</v>
      </c>
      <c r="F26" s="158">
        <v>10.401</v>
      </c>
      <c r="G26" s="158">
        <v>10.401</v>
      </c>
      <c r="H26" s="104">
        <v>14.569051499999999</v>
      </c>
      <c r="I26" s="159" t="s">
        <v>2771</v>
      </c>
      <c r="AL26" s="141"/>
      <c r="AM26" s="141"/>
      <c r="AO26" s="160"/>
      <c r="AP26" s="116"/>
    </row>
    <row r="27" spans="1:58">
      <c r="A27" s="104"/>
      <c r="B27" s="104"/>
      <c r="C27" s="104"/>
      <c r="D27" s="104"/>
      <c r="E27" s="104"/>
      <c r="F27" s="104"/>
      <c r="G27" s="104"/>
      <c r="H27" s="104"/>
      <c r="I27" s="104"/>
      <c r="AL27" s="141"/>
      <c r="AM27" s="152"/>
      <c r="AN27" s="151"/>
      <c r="AO27" s="160"/>
      <c r="AP27" s="116"/>
    </row>
    <row r="28" spans="1:58">
      <c r="A28" s="104"/>
      <c r="B28" s="104"/>
      <c r="C28" s="104"/>
      <c r="D28" s="104"/>
      <c r="E28" s="104"/>
      <c r="F28" s="104"/>
      <c r="G28" s="104"/>
      <c r="H28" s="104"/>
      <c r="I28" s="104"/>
      <c r="AL28" s="141"/>
      <c r="AM28" s="141"/>
      <c r="AP28" s="116"/>
    </row>
    <row r="29" spans="1:58">
      <c r="A29" s="104"/>
      <c r="B29" s="104"/>
      <c r="C29" s="104"/>
      <c r="D29" s="104"/>
      <c r="E29" s="104"/>
      <c r="F29" s="104"/>
      <c r="G29" s="104"/>
      <c r="H29" s="104"/>
      <c r="I29" s="104"/>
      <c r="L29" s="161" t="s">
        <v>2811</v>
      </c>
      <c r="M29" s="162"/>
      <c r="N29" s="162"/>
      <c r="O29" s="162"/>
      <c r="P29" s="162"/>
      <c r="Q29" s="163"/>
      <c r="AL29" s="141"/>
      <c r="AM29" s="141"/>
      <c r="AO29" s="152"/>
      <c r="AP29" s="116"/>
      <c r="AY29" s="207"/>
      <c r="BB29" s="161" t="s">
        <v>2814</v>
      </c>
      <c r="BC29" s="162"/>
      <c r="BD29" s="162"/>
      <c r="BE29" s="162"/>
      <c r="BF29" s="163"/>
    </row>
    <row r="30" spans="1:58">
      <c r="A30" s="104"/>
      <c r="B30" s="104"/>
      <c r="C30" s="104"/>
      <c r="D30" s="104"/>
      <c r="E30" s="104"/>
      <c r="F30" s="104"/>
      <c r="G30" s="104"/>
      <c r="H30" s="104"/>
      <c r="I30" s="104"/>
      <c r="L30" s="164" t="s">
        <v>2753</v>
      </c>
      <c r="M30" s="152" t="s">
        <v>2755</v>
      </c>
      <c r="N30" s="152" t="s">
        <v>2757</v>
      </c>
      <c r="O30" s="152" t="s">
        <v>2760</v>
      </c>
      <c r="P30" s="165" t="s">
        <v>2749</v>
      </c>
      <c r="Q30" s="166" t="s">
        <v>2767</v>
      </c>
      <c r="AL30" s="141"/>
      <c r="AM30" s="141"/>
      <c r="AP30" s="116"/>
      <c r="AY30" s="207"/>
      <c r="BB30" s="208" t="s">
        <v>2815</v>
      </c>
      <c r="BC30" s="209" t="s">
        <v>2816</v>
      </c>
      <c r="BD30" s="209" t="s">
        <v>2757</v>
      </c>
      <c r="BE30" s="210" t="s">
        <v>2765</v>
      </c>
      <c r="BF30" s="211" t="s">
        <v>2817</v>
      </c>
    </row>
    <row r="31" spans="1:58" ht="16.2">
      <c r="A31" s="104"/>
      <c r="B31" s="104"/>
      <c r="C31" s="102"/>
      <c r="D31" s="102"/>
      <c r="E31" s="102"/>
      <c r="F31" s="102"/>
      <c r="G31" s="104"/>
      <c r="H31" s="102"/>
      <c r="I31" s="104"/>
      <c r="L31" s="167" t="s">
        <v>2754</v>
      </c>
      <c r="M31" s="168" t="s">
        <v>2754</v>
      </c>
      <c r="N31" s="168" t="s">
        <v>2771</v>
      </c>
      <c r="O31" s="168" t="s">
        <v>2812</v>
      </c>
      <c r="P31" s="168" t="s">
        <v>2750</v>
      </c>
      <c r="Q31" s="166" t="s">
        <v>2813</v>
      </c>
      <c r="AL31" s="141"/>
      <c r="AM31" s="141"/>
      <c r="AP31" s="116"/>
      <c r="AY31" s="207"/>
      <c r="BB31" s="212" t="s">
        <v>2754</v>
      </c>
      <c r="BC31" s="213" t="s">
        <v>2754</v>
      </c>
      <c r="BD31" s="213" t="s">
        <v>2758</v>
      </c>
      <c r="BE31" s="213" t="s">
        <v>2818</v>
      </c>
      <c r="BF31" s="214" t="s">
        <v>2819</v>
      </c>
    </row>
    <row r="32" spans="1:58">
      <c r="A32" s="104"/>
      <c r="B32" s="104"/>
      <c r="C32" s="102"/>
      <c r="D32" s="102"/>
      <c r="E32" s="102"/>
      <c r="F32" s="102"/>
      <c r="G32" s="104"/>
      <c r="H32" s="102"/>
      <c r="I32" s="104"/>
      <c r="L32" s="169">
        <v>200</v>
      </c>
      <c r="M32" s="170">
        <v>50</v>
      </c>
      <c r="N32" s="171">
        <v>4.12</v>
      </c>
      <c r="O32" s="171">
        <f>1000/L32*N32</f>
        <v>20.6</v>
      </c>
      <c r="P32" s="172">
        <v>644509</v>
      </c>
      <c r="Q32" s="173">
        <v>25780.36</v>
      </c>
      <c r="AL32" s="141"/>
      <c r="AM32" s="141"/>
      <c r="AP32" s="116"/>
      <c r="BB32" s="215">
        <v>140</v>
      </c>
      <c r="BC32" s="216">
        <v>1650</v>
      </c>
      <c r="BD32" s="217">
        <v>17.161650000000002</v>
      </c>
      <c r="BE32" s="216">
        <v>7259076</v>
      </c>
      <c r="BF32" s="218">
        <v>102384.71086036673</v>
      </c>
    </row>
    <row r="33" spans="1:89">
      <c r="A33" s="104"/>
      <c r="B33" s="104"/>
      <c r="C33" s="102"/>
      <c r="D33" s="102"/>
      <c r="E33" s="102"/>
      <c r="F33" s="102"/>
      <c r="G33" s="104"/>
      <c r="H33" s="102"/>
      <c r="I33" s="104"/>
      <c r="L33" s="165"/>
      <c r="M33" s="165"/>
      <c r="N33" s="174"/>
      <c r="O33" s="174"/>
      <c r="P33" s="175"/>
      <c r="Q33" s="175"/>
      <c r="AL33" s="141"/>
      <c r="AM33" s="141"/>
      <c r="AP33" s="116"/>
      <c r="BB33" s="255"/>
      <c r="BC33" s="254"/>
      <c r="BD33" s="254"/>
      <c r="BE33" s="254"/>
      <c r="BF33" s="254"/>
    </row>
    <row r="34" spans="1:89">
      <c r="V34" s="1014" t="s">
        <v>2783</v>
      </c>
      <c r="W34" s="1014"/>
      <c r="X34" s="1014"/>
      <c r="Y34" s="1014"/>
      <c r="Z34" s="1014"/>
      <c r="AA34" s="1014"/>
      <c r="AB34" s="1014"/>
      <c r="AC34" s="1014"/>
      <c r="AD34" s="1014"/>
      <c r="AE34" s="1014"/>
      <c r="AF34" s="1014"/>
      <c r="AG34" s="1014"/>
      <c r="AH34" s="1014"/>
      <c r="AJ34" s="1015" t="s">
        <v>2700</v>
      </c>
      <c r="AK34" s="1015"/>
      <c r="AL34" s="1015"/>
      <c r="AM34" s="1015"/>
      <c r="AN34" s="1015"/>
      <c r="AO34" s="1015"/>
      <c r="AP34" s="1015"/>
      <c r="AR34" s="1016" t="s">
        <v>2470</v>
      </c>
      <c r="AS34" s="1016"/>
      <c r="AT34" s="1016"/>
    </row>
    <row r="35" spans="1:89" s="228" customFormat="1" ht="15.6">
      <c r="G35" s="1009"/>
      <c r="H35" s="1009"/>
      <c r="K35" s="152" t="s">
        <v>2784</v>
      </c>
      <c r="L35" s="177" t="s">
        <v>2785</v>
      </c>
      <c r="M35" s="177" t="s">
        <v>2786</v>
      </c>
      <c r="N35" s="177" t="s">
        <v>2787</v>
      </c>
      <c r="O35" s="177" t="s">
        <v>2788</v>
      </c>
      <c r="P35" s="177" t="s">
        <v>2789</v>
      </c>
      <c r="Q35" s="177" t="s">
        <v>2790</v>
      </c>
      <c r="R35" s="177" t="s">
        <v>2791</v>
      </c>
      <c r="S35" s="177" t="s">
        <v>2792</v>
      </c>
      <c r="T35" s="177" t="s">
        <v>2793</v>
      </c>
      <c r="U35" s="178"/>
      <c r="V35" s="177" t="s">
        <v>2794</v>
      </c>
      <c r="W35" s="177" t="s">
        <v>2795</v>
      </c>
      <c r="X35" s="177" t="s">
        <v>2796</v>
      </c>
      <c r="Y35" s="177" t="s">
        <v>2797</v>
      </c>
      <c r="Z35" s="177" t="s">
        <v>2798</v>
      </c>
      <c r="AA35" s="177" t="s">
        <v>2799</v>
      </c>
      <c r="AB35" s="177" t="s">
        <v>2800</v>
      </c>
      <c r="AC35" s="177" t="s">
        <v>2801</v>
      </c>
      <c r="AD35" s="177" t="s">
        <v>2802</v>
      </c>
      <c r="AE35" s="177" t="s">
        <v>2803</v>
      </c>
      <c r="AF35" s="177" t="s">
        <v>2197</v>
      </c>
      <c r="AG35" s="177" t="s">
        <v>2217</v>
      </c>
      <c r="AH35" s="177" t="s">
        <v>2207</v>
      </c>
      <c r="AI35" s="178"/>
      <c r="AJ35" s="179" t="s">
        <v>2804</v>
      </c>
      <c r="AK35" s="179" t="s">
        <v>2805</v>
      </c>
      <c r="AL35" s="179" t="s">
        <v>2806</v>
      </c>
      <c r="AM35" s="179" t="s">
        <v>2797</v>
      </c>
      <c r="AN35" s="179" t="s">
        <v>2807</v>
      </c>
      <c r="AO35" s="179" t="s">
        <v>2808</v>
      </c>
      <c r="AP35" s="179" t="s">
        <v>2237</v>
      </c>
      <c r="AQ35" s="178"/>
      <c r="AR35" s="180" t="s">
        <v>2480</v>
      </c>
      <c r="AS35" s="180" t="s">
        <v>2809</v>
      </c>
      <c r="AT35" s="180" t="s">
        <v>2810</v>
      </c>
      <c r="AY35"/>
      <c r="AZ35"/>
      <c r="BA35"/>
      <c r="BB35" s="209" t="s">
        <v>2820</v>
      </c>
      <c r="BC35" s="209" t="s">
        <v>2821</v>
      </c>
      <c r="BD35" s="152" t="s">
        <v>2787</v>
      </c>
      <c r="BE35"/>
      <c r="BF35" s="209"/>
      <c r="BG35" s="209" t="s">
        <v>2822</v>
      </c>
      <c r="BH35" s="209"/>
      <c r="BI35" s="209"/>
      <c r="BJ35" s="209" t="s">
        <v>2823</v>
      </c>
      <c r="BK35" s="141"/>
      <c r="BL35" s="141"/>
      <c r="BM35" s="141"/>
      <c r="BN35" s="209" t="s">
        <v>2824</v>
      </c>
      <c r="BO35" s="209" t="s">
        <v>2797</v>
      </c>
      <c r="BP35" s="209"/>
      <c r="BQ35" s="209"/>
      <c r="BR35" s="209" t="s">
        <v>2825</v>
      </c>
      <c r="BS35" s="209"/>
      <c r="BT35" s="209"/>
      <c r="BU35" s="209" t="s">
        <v>2826</v>
      </c>
      <c r="BV35" s="209"/>
      <c r="BW35" s="209"/>
      <c r="BX35" s="209" t="s">
        <v>2827</v>
      </c>
      <c r="BY35" s="141"/>
      <c r="BZ35" s="209" t="s">
        <v>2804</v>
      </c>
      <c r="CA35" s="209" t="s">
        <v>2805</v>
      </c>
      <c r="CB35" s="209" t="s">
        <v>2806</v>
      </c>
      <c r="CC35" s="209" t="s">
        <v>2797</v>
      </c>
      <c r="CD35" s="209" t="s">
        <v>2807</v>
      </c>
      <c r="CE35" s="209" t="s">
        <v>2808</v>
      </c>
      <c r="CF35" s="209" t="s">
        <v>2237</v>
      </c>
      <c r="CG35" s="141"/>
      <c r="CH35" s="209" t="s">
        <v>2480</v>
      </c>
      <c r="CI35" s="209" t="s">
        <v>2809</v>
      </c>
      <c r="CJ35" s="209" t="s">
        <v>2810</v>
      </c>
      <c r="CK35"/>
    </row>
    <row r="36" spans="1:89" s="228" customFormat="1">
      <c r="K36" s="168"/>
      <c r="L36" s="168"/>
      <c r="M36" s="168"/>
      <c r="N36" s="168"/>
      <c r="O36" s="168"/>
      <c r="P36" s="168"/>
      <c r="Q36" s="168"/>
      <c r="R36" s="168"/>
      <c r="S36" s="168"/>
      <c r="T36" s="181"/>
      <c r="U36" s="181"/>
      <c r="V36" s="168"/>
      <c r="W36" s="168"/>
      <c r="X36" s="168"/>
      <c r="Y36" s="181"/>
      <c r="Z36" s="168"/>
      <c r="AA36" s="168"/>
      <c r="AB36" s="168"/>
      <c r="AC36" s="168"/>
      <c r="AD36" s="168"/>
      <c r="AE36" s="168"/>
      <c r="AF36" s="178"/>
      <c r="AG36" s="178"/>
      <c r="AH36" s="178"/>
      <c r="AI36" s="178"/>
      <c r="AJ36" s="152"/>
      <c r="AK36" s="152"/>
      <c r="AL36" s="152"/>
      <c r="AM36" s="178"/>
      <c r="AN36" s="152"/>
      <c r="AO36" s="152"/>
      <c r="AP36" s="178"/>
      <c r="AQ36" s="178"/>
      <c r="AR36" s="178"/>
      <c r="AS36" s="152"/>
      <c r="AT36" s="178"/>
      <c r="AY36"/>
      <c r="AZ36"/>
      <c r="BA36"/>
      <c r="BB36" s="213"/>
      <c r="BC36" s="213"/>
      <c r="BD36" s="168"/>
      <c r="BE36"/>
      <c r="BF36" s="213"/>
      <c r="BG36" s="213"/>
      <c r="BH36" s="213"/>
      <c r="BI36" s="213"/>
      <c r="BJ36" s="141"/>
      <c r="BK36" s="141"/>
      <c r="BL36" s="141"/>
      <c r="BM36" s="141"/>
      <c r="BN36" s="210"/>
      <c r="BO36" s="141"/>
      <c r="BP36" s="141"/>
      <c r="BQ36" s="141"/>
      <c r="BR36" s="210"/>
      <c r="BS36" s="210"/>
      <c r="BT36" s="210"/>
      <c r="BU36" s="168"/>
      <c r="BV36" s="168"/>
      <c r="BW36" s="168"/>
      <c r="BX36" s="141"/>
      <c r="BY36" s="141"/>
      <c r="BZ36" s="213"/>
      <c r="CA36" s="213"/>
      <c r="CB36" s="213"/>
      <c r="CC36" s="141"/>
      <c r="CD36" s="209"/>
      <c r="CE36" s="209"/>
      <c r="CF36" s="141"/>
      <c r="CG36" s="141"/>
      <c r="CH36" s="141"/>
      <c r="CI36" s="209"/>
      <c r="CJ36" s="141"/>
      <c r="CK36"/>
    </row>
    <row r="37" spans="1:89" s="176" customFormat="1" ht="15.75" customHeight="1">
      <c r="H37" s="182"/>
      <c r="I37" s="183" t="s">
        <v>3290</v>
      </c>
      <c r="J37" s="229" t="s">
        <v>3292</v>
      </c>
      <c r="K37" s="185">
        <v>4.4743199999999996</v>
      </c>
      <c r="L37" s="186"/>
      <c r="M37" s="186">
        <v>1.8</v>
      </c>
      <c r="N37" s="186">
        <v>1.8</v>
      </c>
      <c r="O37" s="187"/>
      <c r="P37" s="187">
        <v>0.72260932187747351</v>
      </c>
      <c r="Q37" s="187">
        <v>0.72260932187747351</v>
      </c>
      <c r="R37" s="187"/>
      <c r="S37" s="187">
        <v>1502.8867842146983</v>
      </c>
      <c r="T37" s="189">
        <v>1502.8867842146983</v>
      </c>
      <c r="U37" s="1010">
        <v>1502.8867842146983</v>
      </c>
      <c r="V37" s="188"/>
      <c r="W37" s="188">
        <v>0.26536410000000005</v>
      </c>
      <c r="X37" s="185">
        <v>0.26536410000000005</v>
      </c>
      <c r="Y37" s="186">
        <v>1.35</v>
      </c>
      <c r="Z37" s="186">
        <v>0</v>
      </c>
      <c r="AA37" s="186">
        <v>0.35824153500000011</v>
      </c>
      <c r="AB37" s="186">
        <v>0.35824153500000011</v>
      </c>
      <c r="AC37" s="230">
        <v>0</v>
      </c>
      <c r="AD37" s="230">
        <v>13.895908939983773</v>
      </c>
      <c r="AE37" s="230">
        <v>13.895908939983773</v>
      </c>
      <c r="AF37" s="199">
        <v>0</v>
      </c>
      <c r="AG37" s="199">
        <v>7.6427499169910762E-2</v>
      </c>
      <c r="AH37" s="199">
        <v>7.6427499169910762E-2</v>
      </c>
      <c r="AI37" s="1012">
        <v>7.6427499169910762E-2</v>
      </c>
      <c r="AJ37" s="189">
        <v>5072.2428967246069</v>
      </c>
      <c r="AK37" s="190">
        <v>0</v>
      </c>
      <c r="AL37" s="185">
        <v>0</v>
      </c>
      <c r="AM37" s="186">
        <v>1.35</v>
      </c>
      <c r="AN37" s="186">
        <v>0</v>
      </c>
      <c r="AO37" s="186">
        <v>0</v>
      </c>
      <c r="AP37" s="199">
        <v>0</v>
      </c>
      <c r="AQ37" s="229"/>
      <c r="AR37" s="198">
        <v>1</v>
      </c>
      <c r="AS37" s="186">
        <v>13.895908939983773</v>
      </c>
      <c r="AT37" s="250">
        <v>7.6427499169910762E-2</v>
      </c>
      <c r="AU37" s="1012">
        <v>7.6427499169910762E-2</v>
      </c>
      <c r="AY37" s="183"/>
      <c r="AZ37" s="184"/>
      <c r="BA37" s="184"/>
      <c r="BB37" s="219"/>
      <c r="BC37" s="219"/>
      <c r="BD37" s="186"/>
      <c r="BE37" s="232"/>
      <c r="BF37" s="220"/>
      <c r="BG37" s="220"/>
      <c r="BH37" s="220"/>
      <c r="BI37" s="220"/>
      <c r="BJ37" s="220"/>
      <c r="BK37" s="1010"/>
      <c r="BL37" s="232"/>
      <c r="BM37" s="232"/>
      <c r="BN37" s="219"/>
      <c r="BO37" s="220"/>
      <c r="BP37" s="220"/>
      <c r="BQ37" s="220"/>
      <c r="BR37" s="220"/>
      <c r="BS37" s="220"/>
      <c r="BT37" s="220"/>
      <c r="BU37" s="220"/>
      <c r="BV37" s="220"/>
      <c r="BW37" s="220"/>
      <c r="BX37" s="233"/>
      <c r="BY37" s="1012"/>
      <c r="BZ37" s="220"/>
      <c r="CA37" s="221"/>
      <c r="CB37" s="220"/>
      <c r="CC37" s="234"/>
      <c r="CD37" s="234"/>
      <c r="CE37" s="234"/>
      <c r="CF37" s="233"/>
      <c r="CG37" s="232"/>
      <c r="CH37" s="220"/>
      <c r="CI37" s="220"/>
      <c r="CJ37" s="233"/>
      <c r="CK37" s="1012"/>
    </row>
    <row r="38" spans="1:89">
      <c r="H38" s="182"/>
      <c r="I38" s="191" t="s">
        <v>3291</v>
      </c>
      <c r="J38" s="181" t="s">
        <v>3292</v>
      </c>
      <c r="K38" s="193">
        <v>4.4743199999999996</v>
      </c>
      <c r="L38" s="174"/>
      <c r="M38" s="174">
        <v>1.8</v>
      </c>
      <c r="N38" s="174">
        <v>1.8</v>
      </c>
      <c r="O38" s="194"/>
      <c r="P38" s="194">
        <v>0.72260932187747351</v>
      </c>
      <c r="Q38" s="194">
        <v>0.72260932187747351</v>
      </c>
      <c r="R38" s="194"/>
      <c r="S38" s="194">
        <v>1502.8867842146983</v>
      </c>
      <c r="T38" s="196">
        <v>1502.8867842146983</v>
      </c>
      <c r="U38" s="1011"/>
      <c r="V38" s="195"/>
      <c r="W38" s="195">
        <v>0.26536410000000005</v>
      </c>
      <c r="X38" s="193">
        <v>0.26536410000000005</v>
      </c>
      <c r="Y38" s="174">
        <v>1.2150000000000001</v>
      </c>
      <c r="Z38" s="174">
        <v>0</v>
      </c>
      <c r="AA38" s="174">
        <v>0.3224173815000001</v>
      </c>
      <c r="AB38" s="174">
        <v>0.3224173815000001</v>
      </c>
      <c r="AC38" s="251">
        <v>0</v>
      </c>
      <c r="AD38" s="251">
        <v>12.506318045985395</v>
      </c>
      <c r="AE38" s="251">
        <v>12.506318045985395</v>
      </c>
      <c r="AF38" s="252">
        <v>0</v>
      </c>
      <c r="AG38" s="252">
        <v>6.8784749252919677E-2</v>
      </c>
      <c r="AH38" s="252">
        <v>6.8784749252919677E-2</v>
      </c>
      <c r="AI38" s="1013"/>
      <c r="AJ38" s="196">
        <v>5072.2428967246069</v>
      </c>
      <c r="AK38" s="197">
        <v>0</v>
      </c>
      <c r="AL38" s="193">
        <v>0</v>
      </c>
      <c r="AM38" s="174">
        <v>1.2150000000000001</v>
      </c>
      <c r="AN38" s="174">
        <v>0</v>
      </c>
      <c r="AO38" s="174">
        <v>0</v>
      </c>
      <c r="AP38" s="252">
        <v>0</v>
      </c>
      <c r="AQ38" s="181"/>
      <c r="AR38" s="165">
        <v>1</v>
      </c>
      <c r="AS38" s="174">
        <v>12.506318045985395</v>
      </c>
      <c r="AT38" s="253">
        <v>6.8784749252919677E-2</v>
      </c>
      <c r="AU38" s="1013"/>
      <c r="AY38" s="191"/>
      <c r="AZ38" s="192"/>
      <c r="BA38" s="192"/>
      <c r="BB38" s="222"/>
      <c r="BC38" s="222"/>
      <c r="BD38" s="174"/>
      <c r="BE38" s="241"/>
      <c r="BF38" s="223"/>
      <c r="BG38" s="223"/>
      <c r="BH38" s="223"/>
      <c r="BI38" s="223"/>
      <c r="BJ38" s="223"/>
      <c r="BK38" s="1011"/>
      <c r="BL38" s="241"/>
      <c r="BM38" s="241"/>
      <c r="BN38" s="222"/>
      <c r="BO38" s="223"/>
      <c r="BP38" s="223"/>
      <c r="BQ38" s="223"/>
      <c r="BR38" s="223"/>
      <c r="BS38" s="241"/>
      <c r="BT38" s="241"/>
      <c r="BU38" s="223"/>
      <c r="BV38" s="241"/>
      <c r="BW38" s="241"/>
      <c r="BX38" s="242"/>
      <c r="BY38" s="1013"/>
      <c r="BZ38" s="223"/>
      <c r="CA38" s="224"/>
      <c r="CB38" s="223"/>
      <c r="CC38" s="174"/>
      <c r="CD38" s="243"/>
      <c r="CE38" s="243"/>
      <c r="CF38" s="242"/>
      <c r="CG38" s="241"/>
      <c r="CH38" s="223"/>
      <c r="CI38" s="223"/>
      <c r="CJ38" s="242"/>
      <c r="CK38" s="1013"/>
    </row>
    <row r="39" spans="1:89">
      <c r="H39" s="182"/>
      <c r="I39" s="183"/>
      <c r="J39" s="229"/>
      <c r="K39" s="185"/>
      <c r="L39" s="186"/>
      <c r="M39" s="186"/>
      <c r="N39" s="186"/>
      <c r="O39" s="187"/>
      <c r="P39" s="187"/>
      <c r="Q39" s="187"/>
      <c r="R39" s="187"/>
      <c r="S39" s="187"/>
      <c r="T39" s="189"/>
      <c r="U39" s="1010"/>
      <c r="V39" s="188"/>
      <c r="W39" s="188"/>
      <c r="X39" s="185"/>
      <c r="Y39" s="186"/>
      <c r="Z39" s="186"/>
      <c r="AA39" s="186"/>
      <c r="AB39" s="186"/>
      <c r="AC39" s="230"/>
      <c r="AD39" s="230"/>
      <c r="AE39" s="230"/>
      <c r="AF39" s="199"/>
      <c r="AG39" s="199"/>
      <c r="AH39" s="199"/>
      <c r="AI39" s="1012"/>
      <c r="AJ39" s="189"/>
      <c r="AK39" s="190"/>
      <c r="AL39" s="185"/>
      <c r="AM39" s="186"/>
      <c r="AN39" s="186"/>
      <c r="AO39" s="186"/>
      <c r="AP39" s="199"/>
      <c r="AQ39" s="229"/>
      <c r="AR39" s="198"/>
      <c r="AS39" s="186"/>
      <c r="AT39" s="199"/>
      <c r="AU39" s="1012"/>
      <c r="AV39" s="23"/>
      <c r="AW39" s="23"/>
      <c r="AX39" s="23"/>
      <c r="AY39" s="231"/>
      <c r="AZ39" s="229"/>
      <c r="BA39" s="229"/>
      <c r="BB39" s="219"/>
      <c r="BC39" s="219"/>
      <c r="BD39" s="186"/>
      <c r="BE39" s="232"/>
      <c r="BF39" s="220"/>
      <c r="BG39" s="220"/>
      <c r="BH39" s="220"/>
      <c r="BI39" s="220"/>
      <c r="BJ39" s="220"/>
      <c r="BK39" s="1010"/>
      <c r="BL39" s="232"/>
      <c r="BM39" s="232"/>
      <c r="BN39" s="219"/>
      <c r="BO39" s="220"/>
      <c r="BP39" s="220"/>
      <c r="BQ39" s="220"/>
      <c r="BR39" s="220"/>
      <c r="BS39" s="220"/>
      <c r="BT39" s="220"/>
      <c r="BU39" s="220"/>
      <c r="BV39" s="220"/>
      <c r="BW39" s="220"/>
      <c r="BX39" s="233"/>
      <c r="BY39" s="1012"/>
      <c r="BZ39" s="220"/>
      <c r="CA39" s="221"/>
      <c r="CB39" s="220"/>
      <c r="CC39" s="234"/>
      <c r="CD39" s="234"/>
      <c r="CE39" s="234"/>
      <c r="CF39" s="233"/>
      <c r="CG39" s="232"/>
      <c r="CH39" s="220"/>
      <c r="CI39" s="220"/>
      <c r="CJ39" s="233"/>
      <c r="CK39" s="1012"/>
    </row>
    <row r="40" spans="1:89">
      <c r="H40" s="182"/>
      <c r="I40" s="200"/>
      <c r="J40" s="235"/>
      <c r="K40" s="201"/>
      <c r="L40" s="171"/>
      <c r="M40" s="171"/>
      <c r="N40" s="171"/>
      <c r="O40" s="202"/>
      <c r="P40" s="202"/>
      <c r="Q40" s="202"/>
      <c r="R40" s="202"/>
      <c r="S40" s="202"/>
      <c r="T40" s="204"/>
      <c r="U40" s="1011"/>
      <c r="V40" s="203"/>
      <c r="W40" s="203"/>
      <c r="X40" s="201"/>
      <c r="Y40" s="171"/>
      <c r="Z40" s="171"/>
      <c r="AA40" s="171"/>
      <c r="AB40" s="171"/>
      <c r="AC40" s="236"/>
      <c r="AD40" s="236"/>
      <c r="AE40" s="236"/>
      <c r="AF40" s="206"/>
      <c r="AG40" s="206"/>
      <c r="AH40" s="206"/>
      <c r="AI40" s="1013"/>
      <c r="AJ40" s="204"/>
      <c r="AK40" s="205"/>
      <c r="AL40" s="201"/>
      <c r="AM40" s="171"/>
      <c r="AN40" s="171"/>
      <c r="AO40" s="171"/>
      <c r="AP40" s="206"/>
      <c r="AQ40" s="235"/>
      <c r="AR40" s="170"/>
      <c r="AS40" s="171"/>
      <c r="AT40" s="206"/>
      <c r="AU40" s="1013"/>
      <c r="AV40" s="23"/>
      <c r="AW40" s="23"/>
      <c r="AX40" s="23"/>
      <c r="AY40" s="237"/>
      <c r="AZ40" s="235"/>
      <c r="BA40" s="235"/>
      <c r="BB40" s="225"/>
      <c r="BC40" s="225"/>
      <c r="BD40" s="171"/>
      <c r="BE40" s="238"/>
      <c r="BF40" s="226"/>
      <c r="BG40" s="226"/>
      <c r="BH40" s="226"/>
      <c r="BI40" s="226"/>
      <c r="BJ40" s="226"/>
      <c r="BK40" s="1011"/>
      <c r="BL40" s="238"/>
      <c r="BM40" s="238"/>
      <c r="BN40" s="225"/>
      <c r="BO40" s="226"/>
      <c r="BP40" s="226"/>
      <c r="BQ40" s="226"/>
      <c r="BR40" s="226"/>
      <c r="BS40" s="238"/>
      <c r="BT40" s="238"/>
      <c r="BU40" s="226"/>
      <c r="BV40" s="238"/>
      <c r="BW40" s="238"/>
      <c r="BX40" s="239"/>
      <c r="BY40" s="1013"/>
      <c r="BZ40" s="226"/>
      <c r="CA40" s="227"/>
      <c r="CB40" s="226"/>
      <c r="CC40" s="171"/>
      <c r="CD40" s="217"/>
      <c r="CE40" s="217"/>
      <c r="CF40" s="239"/>
      <c r="CG40" s="238"/>
      <c r="CH40" s="226"/>
      <c r="CI40" s="226"/>
      <c r="CJ40" s="239"/>
      <c r="CK40" s="1013"/>
    </row>
    <row r="41" spans="1:89">
      <c r="H41" s="182"/>
      <c r="I41" s="183"/>
      <c r="J41" s="229"/>
      <c r="K41" s="185"/>
      <c r="L41" s="186"/>
      <c r="M41" s="186"/>
      <c r="N41" s="186"/>
      <c r="O41" s="187"/>
      <c r="P41" s="187"/>
      <c r="Q41" s="187"/>
      <c r="R41" s="187"/>
      <c r="S41" s="187"/>
      <c r="T41" s="189"/>
      <c r="U41" s="1010"/>
      <c r="V41" s="188"/>
      <c r="W41" s="188"/>
      <c r="X41" s="185"/>
      <c r="Y41" s="186"/>
      <c r="Z41" s="186"/>
      <c r="AA41" s="186"/>
      <c r="AB41" s="186"/>
      <c r="AC41" s="230"/>
      <c r="AD41" s="230"/>
      <c r="AE41" s="230"/>
      <c r="AF41" s="199"/>
      <c r="AG41" s="199"/>
      <c r="AH41" s="199"/>
      <c r="AI41" s="1012"/>
      <c r="AJ41" s="189"/>
      <c r="AK41" s="190"/>
      <c r="AL41" s="185"/>
      <c r="AM41" s="186"/>
      <c r="AN41" s="186"/>
      <c r="AO41" s="186"/>
      <c r="AP41" s="199"/>
      <c r="AQ41" s="229"/>
      <c r="AR41" s="198"/>
      <c r="AS41" s="186"/>
      <c r="AT41" s="199"/>
      <c r="AU41" s="1012"/>
      <c r="AV41" s="23"/>
      <c r="AW41" s="23"/>
      <c r="AX41" s="23"/>
      <c r="AY41" s="231"/>
      <c r="AZ41" s="229"/>
      <c r="BA41" s="229"/>
      <c r="BB41" s="219"/>
      <c r="BC41" s="219"/>
      <c r="BD41" s="186"/>
      <c r="BE41" s="232"/>
      <c r="BF41" s="220"/>
      <c r="BG41" s="220"/>
      <c r="BH41" s="220"/>
      <c r="BI41" s="220"/>
      <c r="BJ41" s="220"/>
      <c r="BK41" s="1010"/>
      <c r="BL41" s="232"/>
      <c r="BM41" s="232"/>
      <c r="BN41" s="219"/>
      <c r="BO41" s="220"/>
      <c r="BP41" s="220"/>
      <c r="BQ41" s="220"/>
      <c r="BR41" s="220"/>
      <c r="BS41" s="220"/>
      <c r="BT41" s="220"/>
      <c r="BU41" s="220"/>
      <c r="BV41" s="220"/>
      <c r="BW41" s="220"/>
      <c r="BX41" s="233"/>
      <c r="BY41" s="1012"/>
      <c r="BZ41" s="220"/>
      <c r="CA41" s="221"/>
      <c r="CB41" s="220"/>
      <c r="CC41" s="234"/>
      <c r="CD41" s="234"/>
      <c r="CE41" s="234"/>
      <c r="CF41" s="233"/>
      <c r="CG41" s="232"/>
      <c r="CH41" s="220"/>
      <c r="CI41" s="220"/>
      <c r="CJ41" s="233"/>
      <c r="CK41" s="1012"/>
    </row>
    <row r="42" spans="1:89">
      <c r="H42" s="182"/>
      <c r="I42" s="200"/>
      <c r="J42" s="235"/>
      <c r="K42" s="201"/>
      <c r="L42" s="171"/>
      <c r="M42" s="171"/>
      <c r="N42" s="171"/>
      <c r="O42" s="202"/>
      <c r="P42" s="202"/>
      <c r="Q42" s="202"/>
      <c r="R42" s="202"/>
      <c r="S42" s="202"/>
      <c r="T42" s="204"/>
      <c r="U42" s="1011"/>
      <c r="V42" s="203"/>
      <c r="W42" s="203"/>
      <c r="X42" s="201"/>
      <c r="Y42" s="171"/>
      <c r="Z42" s="171"/>
      <c r="AA42" s="171"/>
      <c r="AB42" s="171"/>
      <c r="AC42" s="236"/>
      <c r="AD42" s="236"/>
      <c r="AE42" s="236"/>
      <c r="AF42" s="206"/>
      <c r="AG42" s="206"/>
      <c r="AH42" s="206"/>
      <c r="AI42" s="1013"/>
      <c r="AJ42" s="204"/>
      <c r="AK42" s="205"/>
      <c r="AL42" s="201"/>
      <c r="AM42" s="171"/>
      <c r="AN42" s="171"/>
      <c r="AO42" s="171"/>
      <c r="AP42" s="206"/>
      <c r="AQ42" s="235"/>
      <c r="AR42" s="170"/>
      <c r="AS42" s="171"/>
      <c r="AT42" s="206"/>
      <c r="AU42" s="1013"/>
      <c r="AV42" s="23"/>
      <c r="AW42" s="23"/>
      <c r="AX42" s="23"/>
      <c r="AY42" s="237"/>
      <c r="AZ42" s="235"/>
      <c r="BA42" s="235"/>
      <c r="BB42" s="225"/>
      <c r="BC42" s="225"/>
      <c r="BD42" s="171"/>
      <c r="BE42" s="238"/>
      <c r="BF42" s="226"/>
      <c r="BG42" s="226"/>
      <c r="BH42" s="226"/>
      <c r="BI42" s="226"/>
      <c r="BJ42" s="226"/>
      <c r="BK42" s="1011"/>
      <c r="BL42" s="238"/>
      <c r="BM42" s="238"/>
      <c r="BN42" s="225"/>
      <c r="BO42" s="226"/>
      <c r="BP42" s="226"/>
      <c r="BQ42" s="226"/>
      <c r="BR42" s="226"/>
      <c r="BS42" s="238"/>
      <c r="BT42" s="238"/>
      <c r="BU42" s="226"/>
      <c r="BV42" s="238"/>
      <c r="BW42" s="238"/>
      <c r="BX42" s="239"/>
      <c r="BY42" s="1013"/>
      <c r="BZ42" s="226"/>
      <c r="CA42" s="227"/>
      <c r="CB42" s="226"/>
      <c r="CC42" s="171"/>
      <c r="CD42" s="217"/>
      <c r="CE42" s="217"/>
      <c r="CF42" s="239"/>
      <c r="CG42" s="238"/>
      <c r="CH42" s="223"/>
      <c r="CI42" s="226"/>
      <c r="CJ42" s="239"/>
      <c r="CK42" s="1013"/>
    </row>
    <row r="43" spans="1:89">
      <c r="H43" s="182"/>
      <c r="I43" s="183"/>
      <c r="J43" s="229"/>
      <c r="K43" s="185"/>
      <c r="L43" s="186"/>
      <c r="M43" s="186"/>
      <c r="N43" s="186"/>
      <c r="O43" s="187"/>
      <c r="P43" s="187"/>
      <c r="Q43" s="187"/>
      <c r="R43" s="187"/>
      <c r="S43" s="187"/>
      <c r="T43" s="189"/>
      <c r="U43" s="1010"/>
      <c r="V43" s="188"/>
      <c r="W43" s="188"/>
      <c r="X43" s="185"/>
      <c r="Y43" s="186"/>
      <c r="Z43" s="186"/>
      <c r="AA43" s="186"/>
      <c r="AB43" s="186"/>
      <c r="AC43" s="230"/>
      <c r="AD43" s="230"/>
      <c r="AE43" s="230"/>
      <c r="AF43" s="199"/>
      <c r="AG43" s="199"/>
      <c r="AH43" s="199"/>
      <c r="AI43" s="1012"/>
      <c r="AJ43" s="189"/>
      <c r="AK43" s="190"/>
      <c r="AL43" s="185"/>
      <c r="AM43" s="186"/>
      <c r="AN43" s="186"/>
      <c r="AO43" s="186"/>
      <c r="AP43" s="199"/>
      <c r="AQ43" s="229"/>
      <c r="AR43" s="198"/>
      <c r="AS43" s="186"/>
      <c r="AT43" s="199"/>
      <c r="AU43" s="1012"/>
      <c r="AV43" s="23"/>
      <c r="AW43" s="23"/>
      <c r="AX43" s="23"/>
      <c r="AY43" s="231"/>
      <c r="AZ43" s="229"/>
      <c r="BA43" s="229"/>
      <c r="BB43" s="219"/>
      <c r="BC43" s="219"/>
      <c r="BD43" s="186"/>
      <c r="BE43" s="232"/>
      <c r="BF43" s="220"/>
      <c r="BG43" s="220"/>
      <c r="BH43" s="220"/>
      <c r="BI43" s="220"/>
      <c r="BJ43" s="220"/>
      <c r="BK43" s="1010"/>
      <c r="BL43" s="232"/>
      <c r="BM43" s="232"/>
      <c r="BN43" s="219"/>
      <c r="BO43" s="220"/>
      <c r="BP43" s="220"/>
      <c r="BQ43" s="220"/>
      <c r="BR43" s="220"/>
      <c r="BS43" s="220"/>
      <c r="BT43" s="220"/>
      <c r="BU43" s="220"/>
      <c r="BV43" s="220"/>
      <c r="BW43" s="220"/>
      <c r="BX43" s="233"/>
      <c r="BY43" s="1012"/>
      <c r="BZ43" s="220"/>
      <c r="CA43" s="221"/>
      <c r="CB43" s="220"/>
      <c r="CC43" s="234"/>
      <c r="CD43" s="234"/>
      <c r="CE43" s="234"/>
      <c r="CF43" s="233"/>
      <c r="CG43" s="232"/>
      <c r="CH43" s="220"/>
      <c r="CI43" s="220"/>
      <c r="CJ43" s="233"/>
      <c r="CK43" s="1012"/>
    </row>
    <row r="44" spans="1:89">
      <c r="H44" s="182"/>
      <c r="I44" s="200"/>
      <c r="J44" s="235"/>
      <c r="K44" s="201"/>
      <c r="L44" s="171"/>
      <c r="M44" s="171"/>
      <c r="N44" s="171"/>
      <c r="O44" s="202"/>
      <c r="P44" s="202"/>
      <c r="Q44" s="202"/>
      <c r="R44" s="202"/>
      <c r="S44" s="202"/>
      <c r="T44" s="204"/>
      <c r="U44" s="1011"/>
      <c r="V44" s="203"/>
      <c r="W44" s="203"/>
      <c r="X44" s="201"/>
      <c r="Y44" s="171"/>
      <c r="Z44" s="171"/>
      <c r="AA44" s="171"/>
      <c r="AB44" s="171"/>
      <c r="AC44" s="236"/>
      <c r="AD44" s="236"/>
      <c r="AE44" s="236"/>
      <c r="AF44" s="206"/>
      <c r="AG44" s="206"/>
      <c r="AH44" s="206"/>
      <c r="AI44" s="1013"/>
      <c r="AJ44" s="204"/>
      <c r="AK44" s="205"/>
      <c r="AL44" s="201"/>
      <c r="AM44" s="171"/>
      <c r="AN44" s="171"/>
      <c r="AO44" s="171"/>
      <c r="AP44" s="206"/>
      <c r="AQ44" s="235"/>
      <c r="AR44" s="170"/>
      <c r="AS44" s="171"/>
      <c r="AT44" s="206"/>
      <c r="AU44" s="1013"/>
      <c r="AV44" s="23"/>
      <c r="AW44" s="23"/>
      <c r="AX44" s="23"/>
      <c r="AY44" s="237"/>
      <c r="AZ44" s="235"/>
      <c r="BA44" s="235"/>
      <c r="BB44" s="225"/>
      <c r="BC44" s="225"/>
      <c r="BD44" s="171"/>
      <c r="BE44" s="238"/>
      <c r="BF44" s="226"/>
      <c r="BG44" s="226"/>
      <c r="BH44" s="226"/>
      <c r="BI44" s="226"/>
      <c r="BJ44" s="226"/>
      <c r="BK44" s="1011"/>
      <c r="BL44" s="238"/>
      <c r="BM44" s="238"/>
      <c r="BN44" s="225"/>
      <c r="BO44" s="226"/>
      <c r="BP44" s="226"/>
      <c r="BQ44" s="226"/>
      <c r="BR44" s="226"/>
      <c r="BS44" s="238"/>
      <c r="BT44" s="238"/>
      <c r="BU44" s="226"/>
      <c r="BV44" s="238"/>
      <c r="BW44" s="238"/>
      <c r="BX44" s="239"/>
      <c r="BY44" s="1013"/>
      <c r="BZ44" s="226"/>
      <c r="CA44" s="227"/>
      <c r="CB44" s="226"/>
      <c r="CC44" s="171"/>
      <c r="CD44" s="217"/>
      <c r="CE44" s="217"/>
      <c r="CF44" s="239"/>
      <c r="CG44" s="238"/>
      <c r="CH44" s="226"/>
      <c r="CI44" s="226"/>
      <c r="CJ44" s="239"/>
      <c r="CK44" s="1013"/>
    </row>
    <row r="45" spans="1:89">
      <c r="H45" s="182"/>
      <c r="I45" s="183"/>
      <c r="J45" s="229"/>
      <c r="K45" s="185"/>
      <c r="L45" s="186"/>
      <c r="M45" s="186"/>
      <c r="N45" s="186"/>
      <c r="O45" s="187"/>
      <c r="P45" s="187"/>
      <c r="Q45" s="187"/>
      <c r="R45" s="187"/>
      <c r="S45" s="187"/>
      <c r="T45" s="189"/>
      <c r="U45" s="1010"/>
      <c r="V45" s="188"/>
      <c r="W45" s="188"/>
      <c r="X45" s="185"/>
      <c r="Y45" s="186"/>
      <c r="Z45" s="186"/>
      <c r="AA45" s="186"/>
      <c r="AB45" s="186"/>
      <c r="AC45" s="230"/>
      <c r="AD45" s="230"/>
      <c r="AE45" s="230"/>
      <c r="AF45" s="199"/>
      <c r="AG45" s="199"/>
      <c r="AH45" s="199"/>
      <c r="AI45" s="1012"/>
      <c r="AJ45" s="189"/>
      <c r="AK45" s="190"/>
      <c r="AL45" s="185"/>
      <c r="AM45" s="186"/>
      <c r="AN45" s="186"/>
      <c r="AO45" s="186"/>
      <c r="AP45" s="199"/>
      <c r="AQ45" s="229"/>
      <c r="AR45" s="198"/>
      <c r="AS45" s="186"/>
      <c r="AT45" s="199"/>
      <c r="AU45" s="1012"/>
      <c r="AV45" s="23"/>
      <c r="AW45" s="23"/>
      <c r="AX45" s="23"/>
      <c r="AY45" s="231"/>
      <c r="AZ45" s="229"/>
      <c r="BA45" s="229"/>
      <c r="BB45" s="219"/>
      <c r="BC45" s="219"/>
      <c r="BD45" s="186"/>
      <c r="BE45" s="232"/>
      <c r="BF45" s="220"/>
      <c r="BG45" s="220"/>
      <c r="BH45" s="220"/>
      <c r="BI45" s="220"/>
      <c r="BJ45" s="220"/>
      <c r="BK45" s="1010"/>
      <c r="BL45" s="232"/>
      <c r="BM45" s="232"/>
      <c r="BN45" s="219"/>
      <c r="BO45" s="220"/>
      <c r="BP45" s="220"/>
      <c r="BQ45" s="220"/>
      <c r="BR45" s="220"/>
      <c r="BS45" s="220"/>
      <c r="BT45" s="220"/>
      <c r="BU45" s="220"/>
      <c r="BV45" s="220"/>
      <c r="BW45" s="220"/>
      <c r="BX45" s="233"/>
      <c r="BY45" s="1012"/>
      <c r="BZ45" s="220"/>
      <c r="CA45" s="221"/>
      <c r="CB45" s="220"/>
      <c r="CC45" s="234"/>
      <c r="CD45" s="234"/>
      <c r="CE45" s="234"/>
      <c r="CF45" s="233"/>
      <c r="CG45" s="232"/>
      <c r="CH45" s="220"/>
      <c r="CI45" s="220"/>
      <c r="CJ45" s="233"/>
      <c r="CK45" s="1012"/>
    </row>
    <row r="46" spans="1:89">
      <c r="H46" s="182"/>
      <c r="I46" s="200"/>
      <c r="J46" s="235"/>
      <c r="K46" s="201"/>
      <c r="L46" s="171"/>
      <c r="M46" s="171"/>
      <c r="N46" s="171"/>
      <c r="O46" s="202"/>
      <c r="P46" s="202"/>
      <c r="Q46" s="202"/>
      <c r="R46" s="202"/>
      <c r="S46" s="202"/>
      <c r="T46" s="204"/>
      <c r="U46" s="1011"/>
      <c r="V46" s="203"/>
      <c r="W46" s="203"/>
      <c r="X46" s="201"/>
      <c r="Y46" s="171"/>
      <c r="Z46" s="171"/>
      <c r="AA46" s="171"/>
      <c r="AB46" s="171"/>
      <c r="AC46" s="236"/>
      <c r="AD46" s="236"/>
      <c r="AE46" s="236"/>
      <c r="AF46" s="206"/>
      <c r="AG46" s="206"/>
      <c r="AH46" s="206"/>
      <c r="AI46" s="1013"/>
      <c r="AJ46" s="204"/>
      <c r="AK46" s="205"/>
      <c r="AL46" s="201"/>
      <c r="AM46" s="171"/>
      <c r="AN46" s="171"/>
      <c r="AO46" s="171"/>
      <c r="AP46" s="206"/>
      <c r="AQ46" s="235"/>
      <c r="AR46" s="170"/>
      <c r="AS46" s="171"/>
      <c r="AT46" s="206"/>
      <c r="AU46" s="1013"/>
      <c r="AV46" s="23"/>
      <c r="AW46" s="23"/>
      <c r="AX46" s="23"/>
      <c r="AY46" s="237"/>
      <c r="AZ46" s="235"/>
      <c r="BA46" s="235"/>
      <c r="BB46" s="225"/>
      <c r="BC46" s="225"/>
      <c r="BD46" s="171"/>
      <c r="BE46" s="238"/>
      <c r="BF46" s="226"/>
      <c r="BG46" s="226"/>
      <c r="BH46" s="226"/>
      <c r="BI46" s="226"/>
      <c r="BJ46" s="226"/>
      <c r="BK46" s="1011"/>
      <c r="BL46" s="238"/>
      <c r="BM46" s="238"/>
      <c r="BN46" s="225"/>
      <c r="BO46" s="226"/>
      <c r="BP46" s="226"/>
      <c r="BQ46" s="226"/>
      <c r="BR46" s="226"/>
      <c r="BS46" s="238"/>
      <c r="BT46" s="238"/>
      <c r="BU46" s="226"/>
      <c r="BV46" s="238"/>
      <c r="BW46" s="238"/>
      <c r="BX46" s="239"/>
      <c r="BY46" s="1013"/>
      <c r="BZ46" s="226"/>
      <c r="CA46" s="227"/>
      <c r="CB46" s="226"/>
      <c r="CC46" s="171"/>
      <c r="CD46" s="217"/>
      <c r="CE46" s="217"/>
      <c r="CF46" s="239"/>
      <c r="CG46" s="238"/>
      <c r="CH46" s="223"/>
      <c r="CI46" s="226"/>
      <c r="CJ46" s="239"/>
      <c r="CK46" s="1013"/>
    </row>
    <row r="47" spans="1:89">
      <c r="H47" s="182"/>
      <c r="I47" s="183"/>
      <c r="J47" s="229"/>
      <c r="K47" s="185"/>
      <c r="L47" s="186"/>
      <c r="M47" s="186"/>
      <c r="N47" s="186"/>
      <c r="O47" s="187"/>
      <c r="P47" s="187"/>
      <c r="Q47" s="187"/>
      <c r="R47" s="187"/>
      <c r="S47" s="187"/>
      <c r="T47" s="189"/>
      <c r="U47" s="1010"/>
      <c r="V47" s="188"/>
      <c r="W47" s="188"/>
      <c r="X47" s="185"/>
      <c r="Y47" s="186"/>
      <c r="Z47" s="186"/>
      <c r="AA47" s="186"/>
      <c r="AB47" s="186"/>
      <c r="AC47" s="230"/>
      <c r="AD47" s="230"/>
      <c r="AE47" s="230"/>
      <c r="AF47" s="199"/>
      <c r="AG47" s="199"/>
      <c r="AH47" s="199"/>
      <c r="AI47" s="1012"/>
      <c r="AJ47" s="189"/>
      <c r="AK47" s="190"/>
      <c r="AL47" s="185"/>
      <c r="AM47" s="186"/>
      <c r="AN47" s="186"/>
      <c r="AO47" s="186"/>
      <c r="AP47" s="199"/>
      <c r="AQ47" s="229"/>
      <c r="AR47" s="198"/>
      <c r="AS47" s="186"/>
      <c r="AT47" s="199"/>
      <c r="AU47" s="1012"/>
      <c r="AV47" s="23"/>
      <c r="AW47" s="23"/>
      <c r="AX47" s="23"/>
      <c r="AY47" s="231"/>
      <c r="AZ47" s="229"/>
      <c r="BA47" s="229"/>
      <c r="BB47" s="219"/>
      <c r="BC47" s="219"/>
      <c r="BD47" s="186"/>
      <c r="BE47" s="232"/>
      <c r="BF47" s="220"/>
      <c r="BG47" s="220"/>
      <c r="BH47" s="220"/>
      <c r="BI47" s="220"/>
      <c r="BJ47" s="220"/>
      <c r="BK47" s="1010"/>
      <c r="BL47" s="232"/>
      <c r="BM47" s="232"/>
      <c r="BN47" s="219"/>
      <c r="BO47" s="220"/>
      <c r="BP47" s="220"/>
      <c r="BQ47" s="220"/>
      <c r="BR47" s="220"/>
      <c r="BS47" s="220"/>
      <c r="BT47" s="220"/>
      <c r="BU47" s="220"/>
      <c r="BV47" s="220"/>
      <c r="BW47" s="220"/>
      <c r="BX47" s="233"/>
      <c r="BY47" s="1012"/>
      <c r="BZ47" s="220"/>
      <c r="CA47" s="221"/>
      <c r="CB47" s="220"/>
      <c r="CC47" s="234"/>
      <c r="CD47" s="234"/>
      <c r="CE47" s="234"/>
      <c r="CF47" s="233"/>
      <c r="CG47" s="232"/>
      <c r="CH47" s="220"/>
      <c r="CI47" s="220"/>
      <c r="CJ47" s="233"/>
      <c r="CK47" s="1012"/>
    </row>
    <row r="48" spans="1:89">
      <c r="H48" s="182"/>
      <c r="I48" s="200"/>
      <c r="J48" s="235"/>
      <c r="K48" s="201"/>
      <c r="L48" s="171"/>
      <c r="M48" s="171"/>
      <c r="N48" s="171"/>
      <c r="O48" s="202"/>
      <c r="P48" s="202"/>
      <c r="Q48" s="202"/>
      <c r="R48" s="202"/>
      <c r="S48" s="202"/>
      <c r="T48" s="204"/>
      <c r="U48" s="1011"/>
      <c r="V48" s="203"/>
      <c r="W48" s="203"/>
      <c r="X48" s="201"/>
      <c r="Y48" s="171"/>
      <c r="Z48" s="171"/>
      <c r="AA48" s="171"/>
      <c r="AB48" s="171"/>
      <c r="AC48" s="236"/>
      <c r="AD48" s="236"/>
      <c r="AE48" s="236"/>
      <c r="AF48" s="206"/>
      <c r="AG48" s="206"/>
      <c r="AH48" s="206"/>
      <c r="AI48" s="1013"/>
      <c r="AJ48" s="204"/>
      <c r="AK48" s="205"/>
      <c r="AL48" s="201"/>
      <c r="AM48" s="171"/>
      <c r="AN48" s="171"/>
      <c r="AO48" s="171"/>
      <c r="AP48" s="206"/>
      <c r="AQ48" s="235"/>
      <c r="AR48" s="170"/>
      <c r="AS48" s="171"/>
      <c r="AT48" s="206"/>
      <c r="AU48" s="1013"/>
      <c r="AV48" s="23"/>
      <c r="AW48" s="23"/>
      <c r="AX48" s="23"/>
      <c r="AY48" s="237"/>
      <c r="AZ48" s="235"/>
      <c r="BA48" s="235"/>
      <c r="BB48" s="225"/>
      <c r="BC48" s="225"/>
      <c r="BD48" s="171"/>
      <c r="BE48" s="238"/>
      <c r="BF48" s="226"/>
      <c r="BG48" s="226"/>
      <c r="BH48" s="226"/>
      <c r="BI48" s="226"/>
      <c r="BJ48" s="226"/>
      <c r="BK48" s="1011"/>
      <c r="BL48" s="238"/>
      <c r="BM48" s="238"/>
      <c r="BN48" s="225"/>
      <c r="BO48" s="226"/>
      <c r="BP48" s="226"/>
      <c r="BQ48" s="226"/>
      <c r="BR48" s="226"/>
      <c r="BS48" s="238"/>
      <c r="BT48" s="238"/>
      <c r="BU48" s="226"/>
      <c r="BV48" s="238"/>
      <c r="BW48" s="238"/>
      <c r="BX48" s="239"/>
      <c r="BY48" s="1013"/>
      <c r="BZ48" s="226"/>
      <c r="CA48" s="227"/>
      <c r="CB48" s="226"/>
      <c r="CC48" s="171"/>
      <c r="CD48" s="217"/>
      <c r="CE48" s="217"/>
      <c r="CF48" s="239"/>
      <c r="CG48" s="238"/>
      <c r="CH48" s="226"/>
      <c r="CI48" s="226"/>
      <c r="CJ48" s="239"/>
      <c r="CK48" s="1013"/>
    </row>
    <row r="49" spans="8:89">
      <c r="H49" s="182"/>
      <c r="I49" s="183"/>
      <c r="J49" s="229"/>
      <c r="K49" s="185"/>
      <c r="L49" s="186"/>
      <c r="M49" s="186"/>
      <c r="N49" s="186"/>
      <c r="O49" s="187"/>
      <c r="P49" s="187"/>
      <c r="Q49" s="187"/>
      <c r="R49" s="187"/>
      <c r="S49" s="187"/>
      <c r="T49" s="189"/>
      <c r="U49" s="1010"/>
      <c r="V49" s="188"/>
      <c r="W49" s="188"/>
      <c r="X49" s="185"/>
      <c r="Y49" s="186"/>
      <c r="Z49" s="186"/>
      <c r="AA49" s="186"/>
      <c r="AB49" s="186"/>
      <c r="AC49" s="230"/>
      <c r="AD49" s="230"/>
      <c r="AE49" s="230"/>
      <c r="AF49" s="199"/>
      <c r="AG49" s="199"/>
      <c r="AH49" s="199"/>
      <c r="AI49" s="1012"/>
      <c r="AJ49" s="189"/>
      <c r="AK49" s="190"/>
      <c r="AL49" s="185"/>
      <c r="AM49" s="186"/>
      <c r="AN49" s="186"/>
      <c r="AO49" s="186"/>
      <c r="AP49" s="199"/>
      <c r="AQ49" s="229"/>
      <c r="AR49" s="198"/>
      <c r="AS49" s="186"/>
      <c r="AT49" s="199"/>
      <c r="AU49" s="1012"/>
      <c r="AV49" s="23"/>
      <c r="AW49" s="23"/>
      <c r="AX49" s="23"/>
      <c r="AY49" s="231"/>
      <c r="AZ49" s="229"/>
      <c r="BA49" s="229"/>
      <c r="BB49" s="219"/>
      <c r="BC49" s="219"/>
      <c r="BD49" s="186"/>
      <c r="BE49" s="232"/>
      <c r="BF49" s="220"/>
      <c r="BG49" s="220"/>
      <c r="BH49" s="220"/>
      <c r="BI49" s="220"/>
      <c r="BJ49" s="220"/>
      <c r="BK49" s="1010"/>
      <c r="BL49" s="232"/>
      <c r="BM49" s="232"/>
      <c r="BN49" s="219"/>
      <c r="BO49" s="220"/>
      <c r="BP49" s="220"/>
      <c r="BQ49" s="220"/>
      <c r="BR49" s="220"/>
      <c r="BS49" s="220"/>
      <c r="BT49" s="220"/>
      <c r="BU49" s="220"/>
      <c r="BV49" s="220"/>
      <c r="BW49" s="220"/>
      <c r="BX49" s="233"/>
      <c r="BY49" s="1012"/>
      <c r="BZ49" s="220"/>
      <c r="CA49" s="221"/>
      <c r="CB49" s="220"/>
      <c r="CC49" s="234"/>
      <c r="CD49" s="234"/>
      <c r="CE49" s="234"/>
      <c r="CF49" s="233"/>
      <c r="CG49" s="232"/>
      <c r="CH49" s="220"/>
      <c r="CI49" s="220"/>
      <c r="CJ49" s="233"/>
      <c r="CK49" s="1012"/>
    </row>
    <row r="50" spans="8:89">
      <c r="H50" s="182"/>
      <c r="I50" s="200"/>
      <c r="J50" s="235"/>
      <c r="K50" s="201"/>
      <c r="L50" s="171"/>
      <c r="M50" s="171"/>
      <c r="N50" s="171"/>
      <c r="O50" s="202"/>
      <c r="P50" s="202"/>
      <c r="Q50" s="202"/>
      <c r="R50" s="202"/>
      <c r="S50" s="202"/>
      <c r="T50" s="204"/>
      <c r="U50" s="1011"/>
      <c r="V50" s="203"/>
      <c r="W50" s="203"/>
      <c r="X50" s="201"/>
      <c r="Y50" s="171"/>
      <c r="Z50" s="171"/>
      <c r="AA50" s="171"/>
      <c r="AB50" s="171"/>
      <c r="AC50" s="236"/>
      <c r="AD50" s="236"/>
      <c r="AE50" s="236"/>
      <c r="AF50" s="206"/>
      <c r="AG50" s="206"/>
      <c r="AH50" s="206"/>
      <c r="AI50" s="1013"/>
      <c r="AJ50" s="204"/>
      <c r="AK50" s="205"/>
      <c r="AL50" s="201"/>
      <c r="AM50" s="171"/>
      <c r="AN50" s="171"/>
      <c r="AO50" s="171"/>
      <c r="AP50" s="206"/>
      <c r="AQ50" s="235"/>
      <c r="AR50" s="170"/>
      <c r="AS50" s="171"/>
      <c r="AT50" s="206"/>
      <c r="AU50" s="1013"/>
      <c r="AV50" s="23"/>
      <c r="AW50" s="23"/>
      <c r="AX50" s="23"/>
      <c r="AY50" s="237"/>
      <c r="AZ50" s="235"/>
      <c r="BA50" s="235"/>
      <c r="BB50" s="225"/>
      <c r="BC50" s="225"/>
      <c r="BD50" s="171"/>
      <c r="BE50" s="238"/>
      <c r="BF50" s="226"/>
      <c r="BG50" s="226"/>
      <c r="BH50" s="226"/>
      <c r="BI50" s="226"/>
      <c r="BJ50" s="226"/>
      <c r="BK50" s="1011"/>
      <c r="BL50" s="238"/>
      <c r="BM50" s="238"/>
      <c r="BN50" s="225"/>
      <c r="BO50" s="226"/>
      <c r="BP50" s="226"/>
      <c r="BQ50" s="226"/>
      <c r="BR50" s="226"/>
      <c r="BS50" s="238"/>
      <c r="BT50" s="238"/>
      <c r="BU50" s="226"/>
      <c r="BV50" s="238"/>
      <c r="BW50" s="238"/>
      <c r="BX50" s="239"/>
      <c r="BY50" s="1013"/>
      <c r="BZ50" s="226"/>
      <c r="CA50" s="227"/>
      <c r="CB50" s="226"/>
      <c r="CC50" s="171"/>
      <c r="CD50" s="217"/>
      <c r="CE50" s="217"/>
      <c r="CF50" s="239"/>
      <c r="CG50" s="238"/>
      <c r="CH50" s="223"/>
      <c r="CI50" s="226"/>
      <c r="CJ50" s="239"/>
      <c r="CK50" s="1013"/>
    </row>
    <row r="51" spans="8:89">
      <c r="H51" s="182"/>
      <c r="I51" s="183"/>
      <c r="J51" s="229"/>
      <c r="K51" s="185"/>
      <c r="L51" s="186"/>
      <c r="M51" s="186"/>
      <c r="N51" s="186"/>
      <c r="O51" s="187"/>
      <c r="P51" s="187"/>
      <c r="Q51" s="187"/>
      <c r="R51" s="187"/>
      <c r="S51" s="187"/>
      <c r="T51" s="189"/>
      <c r="U51" s="1010"/>
      <c r="V51" s="188"/>
      <c r="W51" s="188"/>
      <c r="X51" s="185"/>
      <c r="Y51" s="186"/>
      <c r="Z51" s="186"/>
      <c r="AA51" s="186"/>
      <c r="AB51" s="186"/>
      <c r="AC51" s="230"/>
      <c r="AD51" s="230"/>
      <c r="AE51" s="230"/>
      <c r="AF51" s="199"/>
      <c r="AG51" s="199"/>
      <c r="AH51" s="199"/>
      <c r="AI51" s="1012"/>
      <c r="AJ51" s="189"/>
      <c r="AK51" s="190"/>
      <c r="AL51" s="185"/>
      <c r="AM51" s="186"/>
      <c r="AN51" s="186"/>
      <c r="AO51" s="186"/>
      <c r="AP51" s="199"/>
      <c r="AQ51" s="229"/>
      <c r="AR51" s="198"/>
      <c r="AS51" s="186"/>
      <c r="AT51" s="199"/>
      <c r="AU51" s="1012"/>
      <c r="AV51" s="23"/>
      <c r="AW51" s="23"/>
      <c r="AX51" s="23"/>
      <c r="AY51" s="231"/>
      <c r="AZ51" s="229"/>
      <c r="BA51" s="229"/>
      <c r="BB51" s="219"/>
      <c r="BC51" s="219"/>
      <c r="BD51" s="186"/>
      <c r="BE51" s="232"/>
      <c r="BF51" s="220"/>
      <c r="BG51" s="220"/>
      <c r="BH51" s="220"/>
      <c r="BI51" s="220"/>
      <c r="BJ51" s="220"/>
      <c r="BK51" s="1010"/>
      <c r="BL51" s="232"/>
      <c r="BM51" s="232"/>
      <c r="BN51" s="219"/>
      <c r="BO51" s="220"/>
      <c r="BP51" s="220"/>
      <c r="BQ51" s="220"/>
      <c r="BR51" s="220"/>
      <c r="BS51" s="220"/>
      <c r="BT51" s="220"/>
      <c r="BU51" s="220"/>
      <c r="BV51" s="220"/>
      <c r="BW51" s="220"/>
      <c r="BX51" s="233"/>
      <c r="BY51" s="1012"/>
      <c r="BZ51" s="220"/>
      <c r="CA51" s="221"/>
      <c r="CB51" s="220"/>
      <c r="CC51" s="234"/>
      <c r="CD51" s="234"/>
      <c r="CE51" s="234"/>
      <c r="CF51" s="233"/>
      <c r="CG51" s="232"/>
      <c r="CH51" s="220"/>
      <c r="CI51" s="220"/>
      <c r="CJ51" s="233"/>
      <c r="CK51" s="1012"/>
    </row>
    <row r="52" spans="8:89">
      <c r="H52" s="182"/>
      <c r="I52" s="200"/>
      <c r="J52" s="235"/>
      <c r="K52" s="201"/>
      <c r="L52" s="171"/>
      <c r="M52" s="171"/>
      <c r="N52" s="171"/>
      <c r="O52" s="202"/>
      <c r="P52" s="202"/>
      <c r="Q52" s="202"/>
      <c r="R52" s="202"/>
      <c r="S52" s="202"/>
      <c r="T52" s="204"/>
      <c r="U52" s="1011"/>
      <c r="V52" s="203"/>
      <c r="W52" s="203"/>
      <c r="X52" s="201"/>
      <c r="Y52" s="171"/>
      <c r="Z52" s="171"/>
      <c r="AA52" s="171"/>
      <c r="AB52" s="171"/>
      <c r="AC52" s="236"/>
      <c r="AD52" s="236"/>
      <c r="AE52" s="236"/>
      <c r="AF52" s="206"/>
      <c r="AG52" s="206"/>
      <c r="AH52" s="206"/>
      <c r="AI52" s="1013"/>
      <c r="AJ52" s="204"/>
      <c r="AK52" s="205"/>
      <c r="AL52" s="201"/>
      <c r="AM52" s="171"/>
      <c r="AN52" s="171"/>
      <c r="AO52" s="171"/>
      <c r="AP52" s="206"/>
      <c r="AQ52" s="235"/>
      <c r="AR52" s="170"/>
      <c r="AS52" s="171"/>
      <c r="AT52" s="206"/>
      <c r="AU52" s="1013"/>
      <c r="AV52" s="23"/>
      <c r="AW52" s="23"/>
      <c r="AX52" s="23"/>
      <c r="AY52" s="240"/>
      <c r="AZ52" s="181"/>
      <c r="BA52" s="181"/>
      <c r="BB52" s="222"/>
      <c r="BC52" s="222"/>
      <c r="BD52" s="174"/>
      <c r="BE52" s="241"/>
      <c r="BF52" s="223"/>
      <c r="BG52" s="223"/>
      <c r="BH52" s="223"/>
      <c r="BI52" s="223"/>
      <c r="BJ52" s="223"/>
      <c r="BK52" s="1011"/>
      <c r="BL52" s="241"/>
      <c r="BM52" s="241"/>
      <c r="BN52" s="222"/>
      <c r="BO52" s="223"/>
      <c r="BP52" s="223"/>
      <c r="BQ52" s="223"/>
      <c r="BR52" s="223"/>
      <c r="BS52" s="241"/>
      <c r="BT52" s="241"/>
      <c r="BU52" s="223"/>
      <c r="BV52" s="241"/>
      <c r="BW52" s="241"/>
      <c r="BX52" s="242"/>
      <c r="BY52" s="1013"/>
      <c r="BZ52" s="223"/>
      <c r="CA52" s="224"/>
      <c r="CB52" s="223"/>
      <c r="CC52" s="174"/>
      <c r="CD52" s="243"/>
      <c r="CE52" s="243"/>
      <c r="CF52" s="242"/>
      <c r="CG52" s="241"/>
      <c r="CH52" s="226"/>
      <c r="CI52" s="223"/>
      <c r="CJ52" s="242"/>
      <c r="CK52" s="1013"/>
    </row>
    <row r="53" spans="8:89">
      <c r="H53" s="182"/>
      <c r="I53" s="183"/>
      <c r="J53" s="229"/>
      <c r="K53" s="185"/>
      <c r="L53" s="186"/>
      <c r="M53" s="186"/>
      <c r="N53" s="186"/>
      <c r="O53" s="187"/>
      <c r="P53" s="187"/>
      <c r="Q53" s="187"/>
      <c r="R53" s="187"/>
      <c r="S53" s="187"/>
      <c r="T53" s="189"/>
      <c r="U53" s="1010"/>
      <c r="V53" s="188"/>
      <c r="W53" s="188"/>
      <c r="X53" s="185"/>
      <c r="Y53" s="186"/>
      <c r="Z53" s="186"/>
      <c r="AA53" s="186"/>
      <c r="AB53" s="186"/>
      <c r="AC53" s="230"/>
      <c r="AD53" s="230"/>
      <c r="AE53" s="230"/>
      <c r="AF53" s="199"/>
      <c r="AG53" s="199"/>
      <c r="AH53" s="199"/>
      <c r="AI53" s="1012"/>
      <c r="AJ53" s="189"/>
      <c r="AK53" s="190"/>
      <c r="AL53" s="185"/>
      <c r="AM53" s="186"/>
      <c r="AN53" s="186"/>
      <c r="AO53" s="186"/>
      <c r="AP53" s="199"/>
      <c r="AQ53" s="229"/>
      <c r="AR53" s="198"/>
      <c r="AS53" s="186"/>
      <c r="AT53" s="199"/>
      <c r="AU53" s="1012"/>
      <c r="AV53" s="23"/>
      <c r="AW53" s="23"/>
      <c r="AX53" s="23"/>
      <c r="AY53" s="231"/>
      <c r="AZ53" s="229"/>
      <c r="BA53" s="229"/>
      <c r="BB53" s="219"/>
      <c r="BC53" s="219"/>
      <c r="BD53" s="186"/>
      <c r="BE53" s="232"/>
      <c r="BF53" s="220"/>
      <c r="BG53" s="220"/>
      <c r="BH53" s="220"/>
      <c r="BI53" s="220"/>
      <c r="BJ53" s="220"/>
      <c r="BK53" s="1010"/>
      <c r="BL53" s="232"/>
      <c r="BM53" s="232"/>
      <c r="BN53" s="219"/>
      <c r="BO53" s="220"/>
      <c r="BP53" s="220"/>
      <c r="BQ53" s="220"/>
      <c r="BR53" s="220"/>
      <c r="BS53" s="220"/>
      <c r="BT53" s="220"/>
      <c r="BU53" s="220"/>
      <c r="BV53" s="220"/>
      <c r="BW53" s="220"/>
      <c r="BX53" s="233"/>
      <c r="BY53" s="1012"/>
      <c r="BZ53" s="220"/>
      <c r="CA53" s="221"/>
      <c r="CB53" s="220"/>
      <c r="CC53" s="234"/>
      <c r="CD53" s="234"/>
      <c r="CE53" s="234"/>
      <c r="CF53" s="233"/>
      <c r="CG53" s="232"/>
      <c r="CH53" s="220"/>
      <c r="CI53" s="220"/>
      <c r="CJ53" s="233"/>
      <c r="CK53" s="1012"/>
    </row>
    <row r="54" spans="8:89">
      <c r="H54" s="182"/>
      <c r="I54" s="200"/>
      <c r="J54" s="235"/>
      <c r="K54" s="201"/>
      <c r="L54" s="171"/>
      <c r="M54" s="171"/>
      <c r="N54" s="171"/>
      <c r="O54" s="202"/>
      <c r="P54" s="202"/>
      <c r="Q54" s="202"/>
      <c r="R54" s="202"/>
      <c r="S54" s="202"/>
      <c r="T54" s="204"/>
      <c r="U54" s="1011"/>
      <c r="V54" s="203"/>
      <c r="W54" s="203"/>
      <c r="X54" s="201"/>
      <c r="Y54" s="171"/>
      <c r="Z54" s="171"/>
      <c r="AA54" s="171"/>
      <c r="AB54" s="171"/>
      <c r="AC54" s="236"/>
      <c r="AD54" s="236"/>
      <c r="AE54" s="236"/>
      <c r="AF54" s="206"/>
      <c r="AG54" s="206"/>
      <c r="AH54" s="206"/>
      <c r="AI54" s="1013"/>
      <c r="AJ54" s="204"/>
      <c r="AK54" s="205"/>
      <c r="AL54" s="201"/>
      <c r="AM54" s="171"/>
      <c r="AN54" s="171"/>
      <c r="AO54" s="171"/>
      <c r="AP54" s="206"/>
      <c r="AQ54" s="235"/>
      <c r="AR54" s="170"/>
      <c r="AS54" s="171"/>
      <c r="AT54" s="206"/>
      <c r="AU54" s="1013"/>
      <c r="AV54" s="23"/>
      <c r="AW54" s="23"/>
      <c r="AX54" s="23"/>
      <c r="AY54" s="237"/>
      <c r="AZ54" s="235"/>
      <c r="BA54" s="235"/>
      <c r="BB54" s="225"/>
      <c r="BC54" s="225"/>
      <c r="BD54" s="171"/>
      <c r="BE54" s="238"/>
      <c r="BF54" s="226"/>
      <c r="BG54" s="226"/>
      <c r="BH54" s="226"/>
      <c r="BI54" s="226"/>
      <c r="BJ54" s="226"/>
      <c r="BK54" s="1011"/>
      <c r="BL54" s="238"/>
      <c r="BM54" s="238"/>
      <c r="BN54" s="225"/>
      <c r="BO54" s="226"/>
      <c r="BP54" s="226"/>
      <c r="BQ54" s="226"/>
      <c r="BR54" s="226"/>
      <c r="BS54" s="238"/>
      <c r="BT54" s="238"/>
      <c r="BU54" s="226"/>
      <c r="BV54" s="238"/>
      <c r="BW54" s="238"/>
      <c r="BX54" s="239"/>
      <c r="BY54" s="1013"/>
      <c r="BZ54" s="226"/>
      <c r="CA54" s="227"/>
      <c r="CB54" s="226"/>
      <c r="CC54" s="171"/>
      <c r="CD54" s="217"/>
      <c r="CE54" s="217"/>
      <c r="CF54" s="239"/>
      <c r="CG54" s="238"/>
      <c r="CH54" s="223"/>
      <c r="CI54" s="226"/>
      <c r="CJ54" s="239"/>
      <c r="CK54" s="1013"/>
    </row>
    <row r="55" spans="8:89">
      <c r="H55" s="182"/>
      <c r="I55" s="183"/>
      <c r="J55" s="229"/>
      <c r="K55" s="185"/>
      <c r="L55" s="186"/>
      <c r="M55" s="186"/>
      <c r="N55" s="186"/>
      <c r="O55" s="187"/>
      <c r="P55" s="187"/>
      <c r="Q55" s="187"/>
      <c r="R55" s="187"/>
      <c r="S55" s="187"/>
      <c r="T55" s="189"/>
      <c r="U55" s="1010"/>
      <c r="V55" s="188"/>
      <c r="W55" s="188"/>
      <c r="X55" s="185"/>
      <c r="Y55" s="186"/>
      <c r="Z55" s="186"/>
      <c r="AA55" s="186"/>
      <c r="AB55" s="186"/>
      <c r="AC55" s="230"/>
      <c r="AD55" s="230"/>
      <c r="AE55" s="230"/>
      <c r="AF55" s="199"/>
      <c r="AG55" s="199"/>
      <c r="AH55" s="199"/>
      <c r="AI55" s="1012"/>
      <c r="AJ55" s="189"/>
      <c r="AK55" s="190"/>
      <c r="AL55" s="185"/>
      <c r="AM55" s="186"/>
      <c r="AN55" s="186"/>
      <c r="AO55" s="186"/>
      <c r="AP55" s="199"/>
      <c r="AQ55" s="229"/>
      <c r="AR55" s="198"/>
      <c r="AS55" s="186"/>
      <c r="AT55" s="199"/>
      <c r="AU55" s="1012"/>
      <c r="AV55" s="23"/>
      <c r="AW55" s="23"/>
      <c r="AX55" s="23"/>
      <c r="AY55" s="231"/>
      <c r="AZ55" s="229"/>
      <c r="BA55" s="229"/>
      <c r="BB55" s="219"/>
      <c r="BC55" s="219"/>
      <c r="BD55" s="186"/>
      <c r="BE55" s="232"/>
      <c r="BF55" s="220"/>
      <c r="BG55" s="220"/>
      <c r="BH55" s="220"/>
      <c r="BI55" s="220"/>
      <c r="BJ55" s="220"/>
      <c r="BK55" s="1010"/>
      <c r="BL55" s="232"/>
      <c r="BM55" s="232"/>
      <c r="BN55" s="219"/>
      <c r="BO55" s="220"/>
      <c r="BP55" s="220"/>
      <c r="BQ55" s="220"/>
      <c r="BR55" s="220"/>
      <c r="BS55" s="220"/>
      <c r="BT55" s="220"/>
      <c r="BU55" s="220"/>
      <c r="BV55" s="220"/>
      <c r="BW55" s="220"/>
      <c r="BX55" s="233"/>
      <c r="BY55" s="1012"/>
      <c r="BZ55" s="220"/>
      <c r="CA55" s="221"/>
      <c r="CB55" s="220"/>
      <c r="CC55" s="234"/>
      <c r="CD55" s="234"/>
      <c r="CE55" s="234"/>
      <c r="CF55" s="233"/>
      <c r="CG55" s="232"/>
      <c r="CH55" s="220"/>
      <c r="CI55" s="220"/>
      <c r="CJ55" s="233"/>
      <c r="CK55" s="1012"/>
    </row>
    <row r="56" spans="8:89">
      <c r="H56" s="182"/>
      <c r="I56" s="200"/>
      <c r="J56" s="235"/>
      <c r="K56" s="201"/>
      <c r="L56" s="171"/>
      <c r="M56" s="171"/>
      <c r="N56" s="171"/>
      <c r="O56" s="202"/>
      <c r="P56" s="202"/>
      <c r="Q56" s="202"/>
      <c r="R56" s="202"/>
      <c r="S56" s="202"/>
      <c r="T56" s="204"/>
      <c r="U56" s="1011"/>
      <c r="V56" s="203"/>
      <c r="W56" s="203"/>
      <c r="X56" s="201"/>
      <c r="Y56" s="171"/>
      <c r="Z56" s="171"/>
      <c r="AA56" s="171"/>
      <c r="AB56" s="171"/>
      <c r="AC56" s="236"/>
      <c r="AD56" s="236"/>
      <c r="AE56" s="236"/>
      <c r="AF56" s="206"/>
      <c r="AG56" s="206"/>
      <c r="AH56" s="206"/>
      <c r="AI56" s="1013"/>
      <c r="AJ56" s="204"/>
      <c r="AK56" s="205"/>
      <c r="AL56" s="201"/>
      <c r="AM56" s="171"/>
      <c r="AN56" s="171"/>
      <c r="AO56" s="171"/>
      <c r="AP56" s="206"/>
      <c r="AQ56" s="235"/>
      <c r="AR56" s="170"/>
      <c r="AS56" s="171"/>
      <c r="AT56" s="206"/>
      <c r="AU56" s="1013"/>
      <c r="AV56" s="23"/>
      <c r="AW56" s="23"/>
      <c r="AX56" s="23"/>
      <c r="AY56" s="237"/>
      <c r="AZ56" s="235"/>
      <c r="BA56" s="235"/>
      <c r="BB56" s="225"/>
      <c r="BC56" s="225"/>
      <c r="BD56" s="171"/>
      <c r="BE56" s="238"/>
      <c r="BF56" s="226"/>
      <c r="BG56" s="226"/>
      <c r="BH56" s="226"/>
      <c r="BI56" s="226"/>
      <c r="BJ56" s="226"/>
      <c r="BK56" s="1011"/>
      <c r="BL56" s="238"/>
      <c r="BM56" s="238"/>
      <c r="BN56" s="225"/>
      <c r="BO56" s="226"/>
      <c r="BP56" s="226"/>
      <c r="BQ56" s="226"/>
      <c r="BR56" s="226"/>
      <c r="BS56" s="238"/>
      <c r="BT56" s="238"/>
      <c r="BU56" s="226"/>
      <c r="BV56" s="238"/>
      <c r="BW56" s="238"/>
      <c r="BX56" s="239"/>
      <c r="BY56" s="1013"/>
      <c r="BZ56" s="226"/>
      <c r="CA56" s="227"/>
      <c r="CB56" s="226"/>
      <c r="CC56" s="171"/>
      <c r="CD56" s="217"/>
      <c r="CE56" s="217"/>
      <c r="CF56" s="239"/>
      <c r="CG56" s="238"/>
      <c r="CH56" s="226"/>
      <c r="CI56" s="226"/>
      <c r="CJ56" s="239"/>
      <c r="CK56" s="1013"/>
    </row>
    <row r="57" spans="8:89">
      <c r="H57" s="182"/>
      <c r="I57" s="183"/>
      <c r="J57" s="229"/>
      <c r="K57" s="185"/>
      <c r="L57" s="186"/>
      <c r="M57" s="186"/>
      <c r="N57" s="186"/>
      <c r="O57" s="187"/>
      <c r="P57" s="187"/>
      <c r="Q57" s="187"/>
      <c r="R57" s="187"/>
      <c r="S57" s="187"/>
      <c r="T57" s="189"/>
      <c r="U57" s="1010"/>
      <c r="V57" s="188"/>
      <c r="W57" s="188"/>
      <c r="X57" s="185"/>
      <c r="Y57" s="186"/>
      <c r="Z57" s="186"/>
      <c r="AA57" s="186"/>
      <c r="AB57" s="186"/>
      <c r="AC57" s="230"/>
      <c r="AD57" s="230"/>
      <c r="AE57" s="230"/>
      <c r="AF57" s="199"/>
      <c r="AG57" s="199"/>
      <c r="AH57" s="199"/>
      <c r="AI57" s="1012"/>
      <c r="AJ57" s="189"/>
      <c r="AK57" s="190"/>
      <c r="AL57" s="185"/>
      <c r="AM57" s="186"/>
      <c r="AN57" s="186"/>
      <c r="AO57" s="186"/>
      <c r="AP57" s="199"/>
      <c r="AQ57" s="229"/>
      <c r="AR57" s="198"/>
      <c r="AS57" s="186"/>
      <c r="AT57" s="199"/>
      <c r="AU57" s="1012"/>
      <c r="AV57" s="23"/>
      <c r="AW57" s="23"/>
      <c r="AX57" s="23"/>
      <c r="AY57" s="231"/>
      <c r="AZ57" s="229"/>
      <c r="BA57" s="229"/>
      <c r="BB57" s="219"/>
      <c r="BC57" s="219"/>
      <c r="BD57" s="186"/>
      <c r="BE57" s="232"/>
      <c r="BF57" s="220"/>
      <c r="BG57" s="220"/>
      <c r="BH57" s="220"/>
      <c r="BI57" s="220"/>
      <c r="BJ57" s="220"/>
      <c r="BK57" s="1010"/>
      <c r="BL57" s="232"/>
      <c r="BM57" s="232"/>
      <c r="BN57" s="219"/>
      <c r="BO57" s="220"/>
      <c r="BP57" s="220"/>
      <c r="BQ57" s="220"/>
      <c r="BR57" s="220"/>
      <c r="BS57" s="220"/>
      <c r="BT57" s="220"/>
      <c r="BU57" s="220"/>
      <c r="BV57" s="220"/>
      <c r="BW57" s="220"/>
      <c r="BX57" s="233"/>
      <c r="BY57" s="1012"/>
      <c r="BZ57" s="220"/>
      <c r="CA57" s="221"/>
      <c r="CB57" s="220"/>
      <c r="CC57" s="234"/>
      <c r="CD57" s="234"/>
      <c r="CE57" s="234"/>
      <c r="CF57" s="233"/>
      <c r="CG57" s="232"/>
      <c r="CH57" s="220"/>
      <c r="CI57" s="220"/>
      <c r="CJ57" s="233"/>
      <c r="CK57" s="1012"/>
    </row>
    <row r="58" spans="8:89">
      <c r="H58" s="182"/>
      <c r="I58" s="200"/>
      <c r="J58" s="235"/>
      <c r="K58" s="201"/>
      <c r="L58" s="171"/>
      <c r="M58" s="171"/>
      <c r="N58" s="171"/>
      <c r="O58" s="202"/>
      <c r="P58" s="202"/>
      <c r="Q58" s="202"/>
      <c r="R58" s="202"/>
      <c r="S58" s="202"/>
      <c r="T58" s="204"/>
      <c r="U58" s="1011"/>
      <c r="V58" s="203"/>
      <c r="W58" s="203"/>
      <c r="X58" s="201"/>
      <c r="Y58" s="171"/>
      <c r="Z58" s="171"/>
      <c r="AA58" s="171"/>
      <c r="AB58" s="171"/>
      <c r="AC58" s="236"/>
      <c r="AD58" s="236"/>
      <c r="AE58" s="236"/>
      <c r="AF58" s="206"/>
      <c r="AG58" s="206"/>
      <c r="AH58" s="206"/>
      <c r="AI58" s="1013"/>
      <c r="AJ58" s="204"/>
      <c r="AK58" s="205"/>
      <c r="AL58" s="201"/>
      <c r="AM58" s="171"/>
      <c r="AN58" s="171"/>
      <c r="AO58" s="171"/>
      <c r="AP58" s="206"/>
      <c r="AQ58" s="235"/>
      <c r="AR58" s="170"/>
      <c r="AS58" s="171"/>
      <c r="AT58" s="206"/>
      <c r="AU58" s="1013"/>
      <c r="AV58" s="23"/>
      <c r="AW58" s="23"/>
      <c r="AX58" s="23"/>
      <c r="AY58" s="237"/>
      <c r="AZ58" s="235"/>
      <c r="BA58" s="235"/>
      <c r="BB58" s="225"/>
      <c r="BC58" s="225"/>
      <c r="BD58" s="171"/>
      <c r="BE58" s="238"/>
      <c r="BF58" s="226"/>
      <c r="BG58" s="226"/>
      <c r="BH58" s="226"/>
      <c r="BI58" s="226"/>
      <c r="BJ58" s="226"/>
      <c r="BK58" s="1011"/>
      <c r="BL58" s="238"/>
      <c r="BM58" s="238"/>
      <c r="BN58" s="225"/>
      <c r="BO58" s="226"/>
      <c r="BP58" s="226"/>
      <c r="BQ58" s="226"/>
      <c r="BR58" s="226"/>
      <c r="BS58" s="238"/>
      <c r="BT58" s="238"/>
      <c r="BU58" s="226"/>
      <c r="BV58" s="238"/>
      <c r="BW58" s="238"/>
      <c r="BX58" s="239"/>
      <c r="BY58" s="1013"/>
      <c r="BZ58" s="226"/>
      <c r="CA58" s="227"/>
      <c r="CB58" s="226"/>
      <c r="CC58" s="171"/>
      <c r="CD58" s="217"/>
      <c r="CE58" s="217"/>
      <c r="CF58" s="239"/>
      <c r="CG58" s="238"/>
      <c r="CH58" s="223"/>
      <c r="CI58" s="226"/>
      <c r="CJ58" s="239"/>
      <c r="CK58" s="1013"/>
    </row>
    <row r="59" spans="8:89">
      <c r="H59" s="182"/>
      <c r="I59" s="183"/>
      <c r="J59" s="229"/>
      <c r="K59" s="185"/>
      <c r="L59" s="186"/>
      <c r="M59" s="186"/>
      <c r="N59" s="186"/>
      <c r="O59" s="187"/>
      <c r="P59" s="187"/>
      <c r="Q59" s="187"/>
      <c r="R59" s="187"/>
      <c r="S59" s="187"/>
      <c r="T59" s="189"/>
      <c r="U59" s="1010"/>
      <c r="V59" s="188"/>
      <c r="W59" s="188"/>
      <c r="X59" s="185"/>
      <c r="Y59" s="186"/>
      <c r="Z59" s="186"/>
      <c r="AA59" s="186"/>
      <c r="AB59" s="186"/>
      <c r="AC59" s="230"/>
      <c r="AD59" s="230"/>
      <c r="AE59" s="230"/>
      <c r="AF59" s="199"/>
      <c r="AG59" s="199"/>
      <c r="AH59" s="199"/>
      <c r="AI59" s="1012"/>
      <c r="AJ59" s="189"/>
      <c r="AK59" s="190"/>
      <c r="AL59" s="185"/>
      <c r="AM59" s="186"/>
      <c r="AN59" s="186"/>
      <c r="AO59" s="186"/>
      <c r="AP59" s="199"/>
      <c r="AQ59" s="229"/>
      <c r="AR59" s="198"/>
      <c r="AS59" s="186"/>
      <c r="AT59" s="199"/>
      <c r="AU59" s="1012"/>
      <c r="AV59" s="23"/>
      <c r="AW59" s="23"/>
      <c r="AX59" s="23"/>
      <c r="AY59" s="231"/>
      <c r="AZ59" s="229"/>
      <c r="BA59" s="229"/>
      <c r="BB59" s="219"/>
      <c r="BC59" s="219"/>
      <c r="BD59" s="186"/>
      <c r="BE59" s="232"/>
      <c r="BF59" s="220"/>
      <c r="BG59" s="220"/>
      <c r="BH59" s="220"/>
      <c r="BI59" s="220"/>
      <c r="BJ59" s="220"/>
      <c r="BK59" s="1010"/>
      <c r="BL59" s="232"/>
      <c r="BM59" s="232"/>
      <c r="BN59" s="219"/>
      <c r="BO59" s="220"/>
      <c r="BP59" s="220"/>
      <c r="BQ59" s="220"/>
      <c r="BR59" s="220"/>
      <c r="BS59" s="220"/>
      <c r="BT59" s="220"/>
      <c r="BU59" s="220"/>
      <c r="BV59" s="220"/>
      <c r="BW59" s="220"/>
      <c r="BX59" s="233"/>
      <c r="BY59" s="1012"/>
      <c r="BZ59" s="220"/>
      <c r="CA59" s="221"/>
      <c r="CB59" s="220"/>
      <c r="CC59" s="234"/>
      <c r="CD59" s="234"/>
      <c r="CE59" s="234"/>
      <c r="CF59" s="233"/>
      <c r="CG59" s="232"/>
      <c r="CH59" s="220"/>
      <c r="CI59" s="220"/>
      <c r="CJ59" s="233"/>
      <c r="CK59" s="1012"/>
    </row>
    <row r="60" spans="8:89">
      <c r="H60" s="182"/>
      <c r="I60" s="200"/>
      <c r="J60" s="235"/>
      <c r="K60" s="201"/>
      <c r="L60" s="171"/>
      <c r="M60" s="171"/>
      <c r="N60" s="171"/>
      <c r="O60" s="202"/>
      <c r="P60" s="202"/>
      <c r="Q60" s="202"/>
      <c r="R60" s="202"/>
      <c r="S60" s="202"/>
      <c r="T60" s="204"/>
      <c r="U60" s="1011"/>
      <c r="V60" s="203"/>
      <c r="W60" s="203"/>
      <c r="X60" s="201"/>
      <c r="Y60" s="171"/>
      <c r="Z60" s="171"/>
      <c r="AA60" s="171"/>
      <c r="AB60" s="171"/>
      <c r="AC60" s="236"/>
      <c r="AD60" s="236"/>
      <c r="AE60" s="236"/>
      <c r="AF60" s="206"/>
      <c r="AG60" s="206"/>
      <c r="AH60" s="206"/>
      <c r="AI60" s="1013"/>
      <c r="AJ60" s="204"/>
      <c r="AK60" s="205"/>
      <c r="AL60" s="201"/>
      <c r="AM60" s="171"/>
      <c r="AN60" s="171"/>
      <c r="AO60" s="171"/>
      <c r="AP60" s="206"/>
      <c r="AQ60" s="235"/>
      <c r="AR60" s="170"/>
      <c r="AS60" s="171"/>
      <c r="AT60" s="206"/>
      <c r="AU60" s="1013"/>
      <c r="AV60" s="23"/>
      <c r="AW60" s="23"/>
      <c r="AX60" s="23"/>
      <c r="AY60" s="237"/>
      <c r="AZ60" s="235"/>
      <c r="BA60" s="235"/>
      <c r="BB60" s="225"/>
      <c r="BC60" s="225"/>
      <c r="BD60" s="171"/>
      <c r="BE60" s="238"/>
      <c r="BF60" s="226"/>
      <c r="BG60" s="226"/>
      <c r="BH60" s="226"/>
      <c r="BI60" s="226"/>
      <c r="BJ60" s="226"/>
      <c r="BK60" s="1011"/>
      <c r="BL60" s="238"/>
      <c r="BM60" s="238"/>
      <c r="BN60" s="225"/>
      <c r="BO60" s="226"/>
      <c r="BP60" s="226"/>
      <c r="BQ60" s="226"/>
      <c r="BR60" s="226"/>
      <c r="BS60" s="238"/>
      <c r="BT60" s="238"/>
      <c r="BU60" s="226"/>
      <c r="BV60" s="238"/>
      <c r="BW60" s="238"/>
      <c r="BX60" s="239"/>
      <c r="BY60" s="1013"/>
      <c r="BZ60" s="226"/>
      <c r="CA60" s="227"/>
      <c r="CB60" s="226"/>
      <c r="CC60" s="171"/>
      <c r="CD60" s="217"/>
      <c r="CE60" s="217"/>
      <c r="CF60" s="239"/>
      <c r="CG60" s="238"/>
      <c r="CH60" s="226"/>
      <c r="CI60" s="226"/>
      <c r="CJ60" s="239"/>
      <c r="CK60" s="1013"/>
    </row>
    <row r="61" spans="8:89">
      <c r="H61" s="182"/>
      <c r="I61" s="183"/>
      <c r="J61" s="229"/>
      <c r="K61" s="185"/>
      <c r="L61" s="186"/>
      <c r="M61" s="186"/>
      <c r="N61" s="186"/>
      <c r="O61" s="187"/>
      <c r="P61" s="187"/>
      <c r="Q61" s="187"/>
      <c r="R61" s="187"/>
      <c r="S61" s="187"/>
      <c r="T61" s="189"/>
      <c r="U61" s="1010"/>
      <c r="V61" s="188"/>
      <c r="W61" s="188"/>
      <c r="X61" s="185"/>
      <c r="Y61" s="186"/>
      <c r="Z61" s="186"/>
      <c r="AA61" s="186"/>
      <c r="AB61" s="186"/>
      <c r="AC61" s="230"/>
      <c r="AD61" s="230"/>
      <c r="AE61" s="230"/>
      <c r="AF61" s="199"/>
      <c r="AG61" s="199"/>
      <c r="AH61" s="199"/>
      <c r="AI61" s="1012"/>
      <c r="AJ61" s="189"/>
      <c r="AK61" s="190"/>
      <c r="AL61" s="185"/>
      <c r="AM61" s="186"/>
      <c r="AN61" s="186"/>
      <c r="AO61" s="186"/>
      <c r="AP61" s="199"/>
      <c r="AQ61" s="229"/>
      <c r="AR61" s="198"/>
      <c r="AS61" s="186"/>
      <c r="AT61" s="199"/>
      <c r="AU61" s="1012"/>
      <c r="AV61" s="23"/>
      <c r="AW61" s="23"/>
      <c r="AX61" s="23"/>
      <c r="AY61" s="231"/>
      <c r="AZ61" s="229"/>
      <c r="BA61" s="229"/>
      <c r="BB61" s="219"/>
      <c r="BC61" s="219"/>
      <c r="BD61" s="186"/>
      <c r="BE61" s="232"/>
      <c r="BF61" s="220"/>
      <c r="BG61" s="220"/>
      <c r="BH61" s="220"/>
      <c r="BI61" s="220"/>
      <c r="BJ61" s="220"/>
      <c r="BK61" s="1010"/>
      <c r="BL61" s="232"/>
      <c r="BM61" s="232"/>
      <c r="BN61" s="219"/>
      <c r="BO61" s="220"/>
      <c r="BP61" s="220"/>
      <c r="BQ61" s="220"/>
      <c r="BR61" s="220"/>
      <c r="BS61" s="220"/>
      <c r="BT61" s="220"/>
      <c r="BU61" s="220"/>
      <c r="BV61" s="220"/>
      <c r="BW61" s="220"/>
      <c r="BX61" s="233"/>
      <c r="BY61" s="1012"/>
      <c r="BZ61" s="220"/>
      <c r="CA61" s="221"/>
      <c r="CB61" s="220"/>
      <c r="CC61" s="234"/>
      <c r="CD61" s="234"/>
      <c r="CE61" s="234"/>
      <c r="CF61" s="233"/>
      <c r="CG61" s="232"/>
      <c r="CH61" s="220"/>
      <c r="CI61" s="220"/>
      <c r="CJ61" s="233"/>
      <c r="CK61" s="1012"/>
    </row>
    <row r="62" spans="8:89">
      <c r="H62" s="182"/>
      <c r="I62" s="200"/>
      <c r="J62" s="235"/>
      <c r="K62" s="201"/>
      <c r="L62" s="171"/>
      <c r="M62" s="171"/>
      <c r="N62" s="171"/>
      <c r="O62" s="202"/>
      <c r="P62" s="202"/>
      <c r="Q62" s="202"/>
      <c r="R62" s="202"/>
      <c r="S62" s="202"/>
      <c r="T62" s="204"/>
      <c r="U62" s="1011"/>
      <c r="V62" s="203"/>
      <c r="W62" s="203"/>
      <c r="X62" s="201"/>
      <c r="Y62" s="171"/>
      <c r="Z62" s="171"/>
      <c r="AA62" s="171"/>
      <c r="AB62" s="171"/>
      <c r="AC62" s="236"/>
      <c r="AD62" s="236"/>
      <c r="AE62" s="236"/>
      <c r="AF62" s="206"/>
      <c r="AG62" s="206"/>
      <c r="AH62" s="206"/>
      <c r="AI62" s="1013"/>
      <c r="AJ62" s="204"/>
      <c r="AK62" s="205"/>
      <c r="AL62" s="201"/>
      <c r="AM62" s="171"/>
      <c r="AN62" s="171"/>
      <c r="AO62" s="171"/>
      <c r="AP62" s="206"/>
      <c r="AQ62" s="235"/>
      <c r="AR62" s="170"/>
      <c r="AS62" s="171"/>
      <c r="AT62" s="206"/>
      <c r="AU62" s="1013"/>
      <c r="AV62" s="23"/>
      <c r="AW62" s="23"/>
      <c r="AX62" s="23"/>
      <c r="AY62" s="237"/>
      <c r="AZ62" s="235"/>
      <c r="BA62" s="235"/>
      <c r="BB62" s="225"/>
      <c r="BC62" s="225"/>
      <c r="BD62" s="171"/>
      <c r="BE62" s="238"/>
      <c r="BF62" s="226"/>
      <c r="BG62" s="226"/>
      <c r="BH62" s="226"/>
      <c r="BI62" s="226"/>
      <c r="BJ62" s="226"/>
      <c r="BK62" s="1011"/>
      <c r="BL62" s="238"/>
      <c r="BM62" s="238"/>
      <c r="BN62" s="225"/>
      <c r="BO62" s="226"/>
      <c r="BP62" s="226"/>
      <c r="BQ62" s="226"/>
      <c r="BR62" s="226"/>
      <c r="BS62" s="238"/>
      <c r="BT62" s="238"/>
      <c r="BU62" s="226"/>
      <c r="BV62" s="238"/>
      <c r="BW62" s="238"/>
      <c r="BX62" s="239"/>
      <c r="BY62" s="1013"/>
      <c r="BZ62" s="226"/>
      <c r="CA62" s="227"/>
      <c r="CB62" s="226"/>
      <c r="CC62" s="171"/>
      <c r="CD62" s="217"/>
      <c r="CE62" s="217"/>
      <c r="CF62" s="239"/>
      <c r="CG62" s="238"/>
      <c r="CH62" s="223"/>
      <c r="CI62" s="226"/>
      <c r="CJ62" s="239"/>
      <c r="CK62" s="1013"/>
    </row>
    <row r="63" spans="8:89">
      <c r="H63" s="182"/>
      <c r="I63" s="183"/>
      <c r="J63" s="229"/>
      <c r="K63" s="185"/>
      <c r="L63" s="186"/>
      <c r="M63" s="186"/>
      <c r="N63" s="186"/>
      <c r="O63" s="187"/>
      <c r="P63" s="187"/>
      <c r="Q63" s="187"/>
      <c r="R63" s="187"/>
      <c r="S63" s="187"/>
      <c r="T63" s="189"/>
      <c r="U63" s="1010"/>
      <c r="V63" s="188"/>
      <c r="W63" s="188"/>
      <c r="X63" s="185"/>
      <c r="Y63" s="186"/>
      <c r="Z63" s="186"/>
      <c r="AA63" s="186"/>
      <c r="AB63" s="186"/>
      <c r="AC63" s="230"/>
      <c r="AD63" s="230"/>
      <c r="AE63" s="230"/>
      <c r="AF63" s="199"/>
      <c r="AG63" s="199"/>
      <c r="AH63" s="199"/>
      <c r="AI63" s="1012"/>
      <c r="AJ63" s="189"/>
      <c r="AK63" s="190"/>
      <c r="AL63" s="185"/>
      <c r="AM63" s="186"/>
      <c r="AN63" s="186"/>
      <c r="AO63" s="186"/>
      <c r="AP63" s="199"/>
      <c r="AQ63" s="229"/>
      <c r="AR63" s="198"/>
      <c r="AS63" s="186"/>
      <c r="AT63" s="199"/>
      <c r="AU63" s="1012"/>
      <c r="AV63" s="23"/>
      <c r="AW63" s="23"/>
      <c r="AX63" s="23"/>
      <c r="AY63" s="231"/>
      <c r="AZ63" s="229"/>
      <c r="BA63" s="229"/>
      <c r="BB63" s="219"/>
      <c r="BC63" s="219"/>
      <c r="BD63" s="186"/>
      <c r="BE63" s="232"/>
      <c r="BF63" s="220"/>
      <c r="BG63" s="220"/>
      <c r="BH63" s="220"/>
      <c r="BI63" s="220"/>
      <c r="BJ63" s="220"/>
      <c r="BK63" s="1010"/>
      <c r="BL63" s="232"/>
      <c r="BM63" s="232"/>
      <c r="BN63" s="219"/>
      <c r="BO63" s="220"/>
      <c r="BP63" s="220"/>
      <c r="BQ63" s="220"/>
      <c r="BR63" s="220"/>
      <c r="BS63" s="220"/>
      <c r="BT63" s="220"/>
      <c r="BU63" s="220"/>
      <c r="BV63" s="220"/>
      <c r="BW63" s="220"/>
      <c r="BX63" s="233"/>
      <c r="BY63" s="1012"/>
      <c r="BZ63" s="220"/>
      <c r="CA63" s="221"/>
      <c r="CB63" s="220"/>
      <c r="CC63" s="234"/>
      <c r="CD63" s="234"/>
      <c r="CE63" s="234"/>
      <c r="CF63" s="233"/>
      <c r="CG63" s="232"/>
      <c r="CH63" s="220"/>
      <c r="CI63" s="220"/>
      <c r="CJ63" s="233"/>
      <c r="CK63" s="1012"/>
    </row>
    <row r="64" spans="8:89">
      <c r="H64" s="182"/>
      <c r="I64" s="200"/>
      <c r="J64" s="235"/>
      <c r="K64" s="201"/>
      <c r="L64" s="171"/>
      <c r="M64" s="171"/>
      <c r="N64" s="171"/>
      <c r="O64" s="202"/>
      <c r="P64" s="202"/>
      <c r="Q64" s="202"/>
      <c r="R64" s="202"/>
      <c r="S64" s="202"/>
      <c r="T64" s="204"/>
      <c r="U64" s="1011"/>
      <c r="V64" s="203"/>
      <c r="W64" s="203"/>
      <c r="X64" s="201"/>
      <c r="Y64" s="171"/>
      <c r="Z64" s="171"/>
      <c r="AA64" s="171"/>
      <c r="AB64" s="171"/>
      <c r="AC64" s="236"/>
      <c r="AD64" s="236"/>
      <c r="AE64" s="236"/>
      <c r="AF64" s="206"/>
      <c r="AG64" s="206"/>
      <c r="AH64" s="206"/>
      <c r="AI64" s="1013"/>
      <c r="AJ64" s="204"/>
      <c r="AK64" s="205"/>
      <c r="AL64" s="201"/>
      <c r="AM64" s="171"/>
      <c r="AN64" s="171"/>
      <c r="AO64" s="171"/>
      <c r="AP64" s="206"/>
      <c r="AQ64" s="235"/>
      <c r="AR64" s="170"/>
      <c r="AS64" s="171"/>
      <c r="AT64" s="206"/>
      <c r="AU64" s="1013"/>
      <c r="AV64" s="23"/>
      <c r="AW64" s="23"/>
      <c r="AX64" s="23"/>
      <c r="AY64" s="237"/>
      <c r="AZ64" s="235"/>
      <c r="BA64" s="235"/>
      <c r="BB64" s="225"/>
      <c r="BC64" s="225"/>
      <c r="BD64" s="171"/>
      <c r="BE64" s="238"/>
      <c r="BF64" s="226"/>
      <c r="BG64" s="226"/>
      <c r="BH64" s="226"/>
      <c r="BI64" s="226"/>
      <c r="BJ64" s="226"/>
      <c r="BK64" s="1011"/>
      <c r="BL64" s="238"/>
      <c r="BM64" s="238"/>
      <c r="BN64" s="225"/>
      <c r="BO64" s="226"/>
      <c r="BP64" s="226"/>
      <c r="BQ64" s="226"/>
      <c r="BR64" s="226"/>
      <c r="BS64" s="238"/>
      <c r="BT64" s="238"/>
      <c r="BU64" s="226"/>
      <c r="BV64" s="238"/>
      <c r="BW64" s="238"/>
      <c r="BX64" s="239"/>
      <c r="BY64" s="1013"/>
      <c r="BZ64" s="226"/>
      <c r="CA64" s="227"/>
      <c r="CB64" s="226"/>
      <c r="CC64" s="171"/>
      <c r="CD64" s="217"/>
      <c r="CE64" s="217"/>
      <c r="CF64" s="239"/>
      <c r="CG64" s="238"/>
      <c r="CH64" s="226"/>
      <c r="CI64" s="226"/>
      <c r="CJ64" s="239"/>
      <c r="CK64" s="1013"/>
    </row>
    <row r="65" spans="8:89">
      <c r="H65" s="182"/>
      <c r="I65" s="183"/>
      <c r="J65" s="229"/>
      <c r="K65" s="185"/>
      <c r="L65" s="186"/>
      <c r="M65" s="186"/>
      <c r="N65" s="186"/>
      <c r="O65" s="187"/>
      <c r="P65" s="187"/>
      <c r="Q65" s="187"/>
      <c r="R65" s="187"/>
      <c r="S65" s="187"/>
      <c r="T65" s="189"/>
      <c r="U65" s="1010"/>
      <c r="V65" s="188"/>
      <c r="W65" s="188"/>
      <c r="X65" s="185"/>
      <c r="Y65" s="186"/>
      <c r="Z65" s="186"/>
      <c r="AA65" s="186"/>
      <c r="AB65" s="186"/>
      <c r="AC65" s="230"/>
      <c r="AD65" s="230"/>
      <c r="AE65" s="230"/>
      <c r="AF65" s="199"/>
      <c r="AG65" s="199"/>
      <c r="AH65" s="199"/>
      <c r="AI65" s="1012"/>
      <c r="AJ65" s="189"/>
      <c r="AK65" s="190"/>
      <c r="AL65" s="185"/>
      <c r="AM65" s="186"/>
      <c r="AN65" s="186"/>
      <c r="AO65" s="186"/>
      <c r="AP65" s="199"/>
      <c r="AQ65" s="229"/>
      <c r="AR65" s="198"/>
      <c r="AS65" s="186"/>
      <c r="AT65" s="199"/>
      <c r="AU65" s="1012"/>
      <c r="AV65" s="23"/>
      <c r="AW65" s="23"/>
      <c r="AX65" s="23"/>
      <c r="AY65" s="231"/>
      <c r="AZ65" s="229"/>
      <c r="BA65" s="229"/>
      <c r="BB65" s="219"/>
      <c r="BC65" s="219"/>
      <c r="BD65" s="186"/>
      <c r="BE65" s="232"/>
      <c r="BF65" s="220"/>
      <c r="BG65" s="220"/>
      <c r="BH65" s="220"/>
      <c r="BI65" s="220"/>
      <c r="BJ65" s="220"/>
      <c r="BK65" s="1010"/>
      <c r="BL65" s="232"/>
      <c r="BM65" s="232"/>
      <c r="BN65" s="219"/>
      <c r="BO65" s="220"/>
      <c r="BP65" s="220"/>
      <c r="BQ65" s="220"/>
      <c r="BR65" s="220"/>
      <c r="BS65" s="220"/>
      <c r="BT65" s="220"/>
      <c r="BU65" s="220"/>
      <c r="BV65" s="220"/>
      <c r="BW65" s="220"/>
      <c r="BX65" s="233"/>
      <c r="BY65" s="1012"/>
      <c r="BZ65" s="220"/>
      <c r="CA65" s="221"/>
      <c r="CB65" s="220"/>
      <c r="CC65" s="234"/>
      <c r="CD65" s="234"/>
      <c r="CE65" s="234"/>
      <c r="CF65" s="233"/>
      <c r="CG65" s="232"/>
      <c r="CH65" s="220"/>
      <c r="CI65" s="220"/>
      <c r="CJ65" s="233"/>
      <c r="CK65" s="1012"/>
    </row>
    <row r="66" spans="8:89">
      <c r="H66" s="182"/>
      <c r="I66" s="200"/>
      <c r="J66" s="235"/>
      <c r="K66" s="201"/>
      <c r="L66" s="171"/>
      <c r="M66" s="171"/>
      <c r="N66" s="171"/>
      <c r="O66" s="202"/>
      <c r="P66" s="202"/>
      <c r="Q66" s="202"/>
      <c r="R66" s="202"/>
      <c r="S66" s="202"/>
      <c r="T66" s="204"/>
      <c r="U66" s="1011"/>
      <c r="V66" s="203"/>
      <c r="W66" s="203"/>
      <c r="X66" s="201"/>
      <c r="Y66" s="171"/>
      <c r="Z66" s="171"/>
      <c r="AA66" s="171"/>
      <c r="AB66" s="171"/>
      <c r="AC66" s="236"/>
      <c r="AD66" s="236"/>
      <c r="AE66" s="236"/>
      <c r="AF66" s="206"/>
      <c r="AG66" s="206"/>
      <c r="AH66" s="206"/>
      <c r="AI66" s="1013"/>
      <c r="AJ66" s="204"/>
      <c r="AK66" s="205"/>
      <c r="AL66" s="201"/>
      <c r="AM66" s="171"/>
      <c r="AN66" s="171"/>
      <c r="AO66" s="171"/>
      <c r="AP66" s="206"/>
      <c r="AQ66" s="235"/>
      <c r="AR66" s="170"/>
      <c r="AS66" s="171"/>
      <c r="AT66" s="206"/>
      <c r="AU66" s="1013"/>
      <c r="AV66" s="23"/>
      <c r="AW66" s="23"/>
      <c r="AX66" s="23"/>
      <c r="AY66" s="237"/>
      <c r="AZ66" s="235"/>
      <c r="BA66" s="235"/>
      <c r="BB66" s="225"/>
      <c r="BC66" s="225"/>
      <c r="BD66" s="171"/>
      <c r="BE66" s="238"/>
      <c r="BF66" s="226"/>
      <c r="BG66" s="226"/>
      <c r="BH66" s="226"/>
      <c r="BI66" s="226"/>
      <c r="BJ66" s="226"/>
      <c r="BK66" s="1011"/>
      <c r="BL66" s="238"/>
      <c r="BM66" s="238"/>
      <c r="BN66" s="225"/>
      <c r="BO66" s="226"/>
      <c r="BP66" s="226"/>
      <c r="BQ66" s="226"/>
      <c r="BR66" s="226"/>
      <c r="BS66" s="238"/>
      <c r="BT66" s="238"/>
      <c r="BU66" s="226"/>
      <c r="BV66" s="238"/>
      <c r="BW66" s="238"/>
      <c r="BX66" s="239"/>
      <c r="BY66" s="1013"/>
      <c r="BZ66" s="226"/>
      <c r="CA66" s="227"/>
      <c r="CB66" s="226"/>
      <c r="CC66" s="171"/>
      <c r="CD66" s="217"/>
      <c r="CE66" s="217"/>
      <c r="CF66" s="239"/>
      <c r="CG66" s="238"/>
      <c r="CH66" s="223"/>
      <c r="CI66" s="226"/>
      <c r="CJ66" s="239"/>
      <c r="CK66" s="1013"/>
    </row>
    <row r="67" spans="8:89">
      <c r="H67" s="182"/>
      <c r="I67" s="183"/>
      <c r="J67" s="229"/>
      <c r="K67" s="185"/>
      <c r="L67" s="186"/>
      <c r="M67" s="186"/>
      <c r="N67" s="186"/>
      <c r="O67" s="187"/>
      <c r="P67" s="187"/>
      <c r="Q67" s="187"/>
      <c r="R67" s="187"/>
      <c r="S67" s="187"/>
      <c r="T67" s="189"/>
      <c r="U67" s="1010"/>
      <c r="V67" s="188"/>
      <c r="W67" s="188"/>
      <c r="X67" s="185"/>
      <c r="Y67" s="186"/>
      <c r="Z67" s="186"/>
      <c r="AA67" s="186"/>
      <c r="AB67" s="186"/>
      <c r="AC67" s="230"/>
      <c r="AD67" s="230"/>
      <c r="AE67" s="230"/>
      <c r="AF67" s="199"/>
      <c r="AG67" s="199"/>
      <c r="AH67" s="199"/>
      <c r="AI67" s="1012"/>
      <c r="AJ67" s="189"/>
      <c r="AK67" s="190"/>
      <c r="AL67" s="185"/>
      <c r="AM67" s="186"/>
      <c r="AN67" s="186"/>
      <c r="AO67" s="186"/>
      <c r="AP67" s="199"/>
      <c r="AQ67" s="229"/>
      <c r="AR67" s="198"/>
      <c r="AS67" s="186"/>
      <c r="AT67" s="199"/>
      <c r="AU67" s="1012"/>
      <c r="AV67" s="23"/>
      <c r="AW67" s="23"/>
      <c r="AX67" s="23"/>
      <c r="AY67" s="231"/>
      <c r="AZ67" s="229"/>
      <c r="BA67" s="229"/>
      <c r="BB67" s="219"/>
      <c r="BC67" s="219"/>
      <c r="BD67" s="186"/>
      <c r="BE67" s="232"/>
      <c r="BF67" s="220"/>
      <c r="BG67" s="220"/>
      <c r="BH67" s="220"/>
      <c r="BI67" s="220"/>
      <c r="BJ67" s="220"/>
      <c r="BK67" s="1010"/>
      <c r="BL67" s="232"/>
      <c r="BM67" s="232"/>
      <c r="BN67" s="219"/>
      <c r="BO67" s="220"/>
      <c r="BP67" s="220"/>
      <c r="BQ67" s="220"/>
      <c r="BR67" s="220"/>
      <c r="BS67" s="220"/>
      <c r="BT67" s="220"/>
      <c r="BU67" s="220"/>
      <c r="BV67" s="220"/>
      <c r="BW67" s="220"/>
      <c r="BX67" s="233"/>
      <c r="BY67" s="1012"/>
      <c r="BZ67" s="220"/>
      <c r="CA67" s="221"/>
      <c r="CB67" s="220"/>
      <c r="CC67" s="234"/>
      <c r="CD67" s="234"/>
      <c r="CE67" s="234"/>
      <c r="CF67" s="233"/>
      <c r="CG67" s="232"/>
      <c r="CH67" s="220"/>
      <c r="CI67" s="220"/>
      <c r="CJ67" s="233"/>
      <c r="CK67" s="1012"/>
    </row>
    <row r="68" spans="8:89">
      <c r="H68" s="182"/>
      <c r="I68" s="200"/>
      <c r="J68" s="235"/>
      <c r="K68" s="201"/>
      <c r="L68" s="171"/>
      <c r="M68" s="171"/>
      <c r="N68" s="171"/>
      <c r="O68" s="202"/>
      <c r="P68" s="202"/>
      <c r="Q68" s="202"/>
      <c r="R68" s="202"/>
      <c r="S68" s="202"/>
      <c r="T68" s="204"/>
      <c r="U68" s="1011"/>
      <c r="V68" s="203"/>
      <c r="W68" s="203"/>
      <c r="X68" s="201"/>
      <c r="Y68" s="171"/>
      <c r="Z68" s="171"/>
      <c r="AA68" s="171"/>
      <c r="AB68" s="171"/>
      <c r="AC68" s="236"/>
      <c r="AD68" s="236"/>
      <c r="AE68" s="236"/>
      <c r="AF68" s="206"/>
      <c r="AG68" s="206"/>
      <c r="AH68" s="206"/>
      <c r="AI68" s="1013"/>
      <c r="AJ68" s="204"/>
      <c r="AK68" s="205"/>
      <c r="AL68" s="201"/>
      <c r="AM68" s="171"/>
      <c r="AN68" s="171"/>
      <c r="AO68" s="171"/>
      <c r="AP68" s="206"/>
      <c r="AQ68" s="235"/>
      <c r="AR68" s="170"/>
      <c r="AS68" s="171"/>
      <c r="AT68" s="206"/>
      <c r="AU68" s="1013"/>
      <c r="AV68" s="23"/>
      <c r="AW68" s="23"/>
      <c r="AX68" s="23"/>
      <c r="AY68" s="237"/>
      <c r="AZ68" s="235"/>
      <c r="BA68" s="235"/>
      <c r="BB68" s="225"/>
      <c r="BC68" s="225"/>
      <c r="BD68" s="171"/>
      <c r="BE68" s="238"/>
      <c r="BF68" s="226"/>
      <c r="BG68" s="226"/>
      <c r="BH68" s="226"/>
      <c r="BI68" s="226"/>
      <c r="BJ68" s="226"/>
      <c r="BK68" s="1011"/>
      <c r="BL68" s="238"/>
      <c r="BM68" s="238"/>
      <c r="BN68" s="225"/>
      <c r="BO68" s="226"/>
      <c r="BP68" s="226"/>
      <c r="BQ68" s="226"/>
      <c r="BR68" s="226"/>
      <c r="BS68" s="238"/>
      <c r="BT68" s="238"/>
      <c r="BU68" s="226"/>
      <c r="BV68" s="238"/>
      <c r="BW68" s="238"/>
      <c r="BX68" s="239"/>
      <c r="BY68" s="1013"/>
      <c r="BZ68" s="226"/>
      <c r="CA68" s="227"/>
      <c r="CB68" s="226"/>
      <c r="CC68" s="171"/>
      <c r="CD68" s="217"/>
      <c r="CE68" s="217"/>
      <c r="CF68" s="239"/>
      <c r="CG68" s="238"/>
      <c r="CH68" s="226"/>
      <c r="CI68" s="226"/>
      <c r="CJ68" s="239"/>
      <c r="CK68" s="1013"/>
    </row>
    <row r="69" spans="8:89">
      <c r="H69" s="182"/>
      <c r="I69" s="183"/>
      <c r="J69" s="229"/>
      <c r="K69" s="185"/>
      <c r="L69" s="186"/>
      <c r="M69" s="186"/>
      <c r="N69" s="186"/>
      <c r="O69" s="187"/>
      <c r="P69" s="187"/>
      <c r="Q69" s="187"/>
      <c r="R69" s="187"/>
      <c r="S69" s="187"/>
      <c r="T69" s="189"/>
      <c r="U69" s="1010"/>
      <c r="V69" s="188"/>
      <c r="W69" s="188"/>
      <c r="X69" s="185"/>
      <c r="Y69" s="186"/>
      <c r="Z69" s="186"/>
      <c r="AA69" s="186"/>
      <c r="AB69" s="186"/>
      <c r="AC69" s="230"/>
      <c r="AD69" s="230"/>
      <c r="AE69" s="230"/>
      <c r="AF69" s="199"/>
      <c r="AG69" s="199"/>
      <c r="AH69" s="199"/>
      <c r="AI69" s="1012"/>
      <c r="AJ69" s="189"/>
      <c r="AK69" s="190"/>
      <c r="AL69" s="185"/>
      <c r="AM69" s="186"/>
      <c r="AN69" s="186"/>
      <c r="AO69" s="186"/>
      <c r="AP69" s="199"/>
      <c r="AQ69" s="229"/>
      <c r="AR69" s="198"/>
      <c r="AS69" s="186"/>
      <c r="AT69" s="199"/>
      <c r="AU69" s="1012"/>
      <c r="AV69" s="23"/>
      <c r="AW69" s="23"/>
      <c r="AX69" s="23"/>
      <c r="AY69" s="231"/>
      <c r="AZ69" s="229"/>
      <c r="BA69" s="229"/>
      <c r="BB69" s="219"/>
      <c r="BC69" s="219"/>
      <c r="BD69" s="186"/>
      <c r="BE69" s="232"/>
      <c r="BF69" s="220"/>
      <c r="BG69" s="220"/>
      <c r="BH69" s="220"/>
      <c r="BI69" s="220"/>
      <c r="BJ69" s="220"/>
      <c r="BK69" s="1010"/>
      <c r="BL69" s="232"/>
      <c r="BM69" s="232"/>
      <c r="BN69" s="219"/>
      <c r="BO69" s="220"/>
      <c r="BP69" s="220"/>
      <c r="BQ69" s="220"/>
      <c r="BR69" s="220"/>
      <c r="BS69" s="220"/>
      <c r="BT69" s="220"/>
      <c r="BU69" s="220"/>
      <c r="BV69" s="220"/>
      <c r="BW69" s="220"/>
      <c r="BX69" s="233"/>
      <c r="BY69" s="1012"/>
      <c r="BZ69" s="220"/>
      <c r="CA69" s="221"/>
      <c r="CB69" s="220"/>
      <c r="CC69" s="234"/>
      <c r="CD69" s="234"/>
      <c r="CE69" s="234"/>
      <c r="CF69" s="233"/>
      <c r="CG69" s="232"/>
      <c r="CH69" s="220"/>
      <c r="CI69" s="220"/>
      <c r="CJ69" s="233"/>
      <c r="CK69" s="1012"/>
    </row>
    <row r="70" spans="8:89">
      <c r="H70" s="182"/>
      <c r="I70" s="200"/>
      <c r="J70" s="235"/>
      <c r="K70" s="201"/>
      <c r="L70" s="171"/>
      <c r="M70" s="171"/>
      <c r="N70" s="171"/>
      <c r="O70" s="202"/>
      <c r="P70" s="202"/>
      <c r="Q70" s="202"/>
      <c r="R70" s="202"/>
      <c r="S70" s="202"/>
      <c r="T70" s="204"/>
      <c r="U70" s="1011"/>
      <c r="V70" s="203"/>
      <c r="W70" s="203"/>
      <c r="X70" s="201"/>
      <c r="Y70" s="171"/>
      <c r="Z70" s="171"/>
      <c r="AA70" s="171"/>
      <c r="AB70" s="171"/>
      <c r="AC70" s="236"/>
      <c r="AD70" s="236"/>
      <c r="AE70" s="236"/>
      <c r="AF70" s="206"/>
      <c r="AG70" s="206"/>
      <c r="AH70" s="206"/>
      <c r="AI70" s="1013"/>
      <c r="AJ70" s="204"/>
      <c r="AK70" s="205"/>
      <c r="AL70" s="201"/>
      <c r="AM70" s="171"/>
      <c r="AN70" s="171"/>
      <c r="AO70" s="171"/>
      <c r="AP70" s="206"/>
      <c r="AQ70" s="235"/>
      <c r="AR70" s="170"/>
      <c r="AS70" s="171"/>
      <c r="AT70" s="206"/>
      <c r="AU70" s="1013"/>
      <c r="AV70" s="23"/>
      <c r="AW70" s="23"/>
      <c r="AX70" s="23"/>
      <c r="AY70" s="237"/>
      <c r="AZ70" s="235"/>
      <c r="BA70" s="235"/>
      <c r="BB70" s="225"/>
      <c r="BC70" s="225"/>
      <c r="BD70" s="171"/>
      <c r="BE70" s="238"/>
      <c r="BF70" s="226"/>
      <c r="BG70" s="226"/>
      <c r="BH70" s="226"/>
      <c r="BI70" s="226"/>
      <c r="BJ70" s="226"/>
      <c r="BK70" s="1011"/>
      <c r="BL70" s="238"/>
      <c r="BM70" s="238"/>
      <c r="BN70" s="225"/>
      <c r="BO70" s="226"/>
      <c r="BP70" s="226"/>
      <c r="BQ70" s="226"/>
      <c r="BR70" s="226"/>
      <c r="BS70" s="238"/>
      <c r="BT70" s="238"/>
      <c r="BU70" s="226"/>
      <c r="BV70" s="238"/>
      <c r="BW70" s="238"/>
      <c r="BX70" s="239"/>
      <c r="BY70" s="1013"/>
      <c r="BZ70" s="226"/>
      <c r="CA70" s="227"/>
      <c r="CB70" s="226"/>
      <c r="CC70" s="171"/>
      <c r="CD70" s="217"/>
      <c r="CE70" s="217"/>
      <c r="CF70" s="239"/>
      <c r="CG70" s="238"/>
      <c r="CH70" s="223"/>
      <c r="CI70" s="226"/>
      <c r="CJ70" s="239"/>
      <c r="CK70" s="1013"/>
    </row>
    <row r="71" spans="8:89">
      <c r="H71" s="182"/>
      <c r="I71" s="183"/>
      <c r="J71" s="229"/>
      <c r="K71" s="185"/>
      <c r="L71" s="186"/>
      <c r="M71" s="186"/>
      <c r="N71" s="186"/>
      <c r="O71" s="187"/>
      <c r="P71" s="187"/>
      <c r="Q71" s="187"/>
      <c r="R71" s="187"/>
      <c r="S71" s="187"/>
      <c r="T71" s="189"/>
      <c r="U71" s="1010"/>
      <c r="V71" s="188"/>
      <c r="W71" s="188"/>
      <c r="X71" s="185"/>
      <c r="Y71" s="186"/>
      <c r="Z71" s="186"/>
      <c r="AA71" s="186"/>
      <c r="AB71" s="186"/>
      <c r="AC71" s="230"/>
      <c r="AD71" s="230"/>
      <c r="AE71" s="230"/>
      <c r="AF71" s="199"/>
      <c r="AG71" s="199"/>
      <c r="AH71" s="199"/>
      <c r="AI71" s="1012"/>
      <c r="AJ71" s="189"/>
      <c r="AK71" s="190"/>
      <c r="AL71" s="185"/>
      <c r="AM71" s="186"/>
      <c r="AN71" s="186"/>
      <c r="AO71" s="186"/>
      <c r="AP71" s="199"/>
      <c r="AQ71" s="229"/>
      <c r="AR71" s="198"/>
      <c r="AS71" s="186"/>
      <c r="AT71" s="199"/>
      <c r="AU71" s="1012"/>
      <c r="AV71" s="23"/>
      <c r="AW71" s="23"/>
      <c r="AX71" s="23"/>
      <c r="AY71" s="231"/>
      <c r="AZ71" s="229"/>
      <c r="BA71" s="229"/>
      <c r="BB71" s="219"/>
      <c r="BC71" s="219"/>
      <c r="BD71" s="186"/>
      <c r="BE71" s="232"/>
      <c r="BF71" s="220"/>
      <c r="BG71" s="220"/>
      <c r="BH71" s="220"/>
      <c r="BI71" s="220"/>
      <c r="BJ71" s="220"/>
      <c r="BK71" s="1010"/>
      <c r="BL71" s="232"/>
      <c r="BM71" s="232"/>
      <c r="BN71" s="219"/>
      <c r="BO71" s="220"/>
      <c r="BP71" s="220"/>
      <c r="BQ71" s="220"/>
      <c r="BR71" s="220"/>
      <c r="BS71" s="220"/>
      <c r="BT71" s="220"/>
      <c r="BU71" s="220"/>
      <c r="BV71" s="220"/>
      <c r="BW71" s="220"/>
      <c r="BX71" s="233"/>
      <c r="BY71" s="1012"/>
      <c r="BZ71" s="220"/>
      <c r="CA71" s="221"/>
      <c r="CB71" s="220"/>
      <c r="CC71" s="234"/>
      <c r="CD71" s="234"/>
      <c r="CE71" s="234"/>
      <c r="CF71" s="233"/>
      <c r="CG71" s="232"/>
      <c r="CH71" s="220"/>
      <c r="CI71" s="220"/>
      <c r="CJ71" s="233"/>
      <c r="CK71" s="1012"/>
    </row>
    <row r="72" spans="8:89">
      <c r="H72" s="182"/>
      <c r="I72" s="200"/>
      <c r="J72" s="235"/>
      <c r="K72" s="201"/>
      <c r="L72" s="171"/>
      <c r="M72" s="171"/>
      <c r="N72" s="171"/>
      <c r="O72" s="202"/>
      <c r="P72" s="202"/>
      <c r="Q72" s="202"/>
      <c r="R72" s="202"/>
      <c r="S72" s="202"/>
      <c r="T72" s="204"/>
      <c r="U72" s="1011"/>
      <c r="V72" s="203"/>
      <c r="W72" s="203"/>
      <c r="X72" s="201"/>
      <c r="Y72" s="171"/>
      <c r="Z72" s="171"/>
      <c r="AA72" s="171"/>
      <c r="AB72" s="171"/>
      <c r="AC72" s="236"/>
      <c r="AD72" s="236"/>
      <c r="AE72" s="236"/>
      <c r="AF72" s="206"/>
      <c r="AG72" s="206"/>
      <c r="AH72" s="206"/>
      <c r="AI72" s="1013"/>
      <c r="AJ72" s="204"/>
      <c r="AK72" s="205"/>
      <c r="AL72" s="201"/>
      <c r="AM72" s="171"/>
      <c r="AN72" s="171"/>
      <c r="AO72" s="171"/>
      <c r="AP72" s="206"/>
      <c r="AQ72" s="235"/>
      <c r="AR72" s="170"/>
      <c r="AS72" s="171"/>
      <c r="AT72" s="206"/>
      <c r="AU72" s="1013"/>
      <c r="AV72" s="23"/>
      <c r="AW72" s="23"/>
      <c r="AX72" s="23"/>
      <c r="AY72" s="237"/>
      <c r="AZ72" s="235"/>
      <c r="BA72" s="235"/>
      <c r="BB72" s="225"/>
      <c r="BC72" s="225"/>
      <c r="BD72" s="171"/>
      <c r="BE72" s="238"/>
      <c r="BF72" s="226"/>
      <c r="BG72" s="226"/>
      <c r="BH72" s="226"/>
      <c r="BI72" s="226"/>
      <c r="BJ72" s="226"/>
      <c r="BK72" s="1011"/>
      <c r="BL72" s="238"/>
      <c r="BM72" s="238"/>
      <c r="BN72" s="225"/>
      <c r="BO72" s="226"/>
      <c r="BP72" s="226"/>
      <c r="BQ72" s="226"/>
      <c r="BR72" s="226"/>
      <c r="BS72" s="238"/>
      <c r="BT72" s="238"/>
      <c r="BU72" s="226"/>
      <c r="BV72" s="238"/>
      <c r="BW72" s="238"/>
      <c r="BX72" s="239"/>
      <c r="BY72" s="1013"/>
      <c r="BZ72" s="226"/>
      <c r="CA72" s="227"/>
      <c r="CB72" s="226"/>
      <c r="CC72" s="171"/>
      <c r="CD72" s="217"/>
      <c r="CE72" s="217"/>
      <c r="CF72" s="239"/>
      <c r="CG72" s="238"/>
      <c r="CH72" s="226"/>
      <c r="CI72" s="226"/>
      <c r="CJ72" s="239"/>
      <c r="CK72" s="1013"/>
    </row>
    <row r="73" spans="8:89">
      <c r="H73" s="182"/>
      <c r="I73" s="183"/>
      <c r="J73" s="229"/>
      <c r="K73" s="185"/>
      <c r="L73" s="186"/>
      <c r="M73" s="186"/>
      <c r="N73" s="186"/>
      <c r="O73" s="187"/>
      <c r="P73" s="187"/>
      <c r="Q73" s="187"/>
      <c r="R73" s="187"/>
      <c r="S73" s="187"/>
      <c r="T73" s="189"/>
      <c r="U73" s="1010"/>
      <c r="V73" s="188"/>
      <c r="W73" s="188"/>
      <c r="X73" s="185"/>
      <c r="Y73" s="186"/>
      <c r="Z73" s="186"/>
      <c r="AA73" s="186"/>
      <c r="AB73" s="186"/>
      <c r="AC73" s="230"/>
      <c r="AD73" s="230"/>
      <c r="AE73" s="230"/>
      <c r="AF73" s="199"/>
      <c r="AG73" s="199"/>
      <c r="AH73" s="199"/>
      <c r="AI73" s="1012"/>
      <c r="AJ73" s="189"/>
      <c r="AK73" s="190"/>
      <c r="AL73" s="185"/>
      <c r="AM73" s="186"/>
      <c r="AN73" s="186"/>
      <c r="AO73" s="186"/>
      <c r="AP73" s="199"/>
      <c r="AQ73" s="229"/>
      <c r="AR73" s="198"/>
      <c r="AS73" s="186"/>
      <c r="AT73" s="199"/>
      <c r="AU73" s="1012"/>
      <c r="AV73" s="23"/>
      <c r="AW73" s="23"/>
      <c r="AX73" s="23"/>
      <c r="AY73" s="231"/>
      <c r="AZ73" s="229"/>
      <c r="BA73" s="229"/>
      <c r="BB73" s="219"/>
      <c r="BC73" s="219"/>
      <c r="BD73" s="186"/>
      <c r="BE73" s="232"/>
      <c r="BF73" s="220"/>
      <c r="BG73" s="220"/>
      <c r="BH73" s="220"/>
      <c r="BI73" s="220"/>
      <c r="BJ73" s="220"/>
      <c r="BK73" s="1010"/>
      <c r="BL73" s="232"/>
      <c r="BM73" s="232"/>
      <c r="BN73" s="219"/>
      <c r="BO73" s="220"/>
      <c r="BP73" s="220"/>
      <c r="BQ73" s="220"/>
      <c r="BR73" s="220"/>
      <c r="BS73" s="220"/>
      <c r="BT73" s="220"/>
      <c r="BU73" s="220"/>
      <c r="BV73" s="220"/>
      <c r="BW73" s="220"/>
      <c r="BX73" s="233"/>
      <c r="BY73" s="1012"/>
      <c r="BZ73" s="220"/>
      <c r="CA73" s="221"/>
      <c r="CB73" s="220"/>
      <c r="CC73" s="234"/>
      <c r="CD73" s="234"/>
      <c r="CE73" s="234"/>
      <c r="CF73" s="233"/>
      <c r="CG73" s="232"/>
      <c r="CH73" s="220"/>
      <c r="CI73" s="220"/>
      <c r="CJ73" s="233"/>
      <c r="CK73" s="1012"/>
    </row>
    <row r="74" spans="8:89">
      <c r="H74" s="182"/>
      <c r="I74" s="200"/>
      <c r="J74" s="235"/>
      <c r="K74" s="201"/>
      <c r="L74" s="171"/>
      <c r="M74" s="171"/>
      <c r="N74" s="171"/>
      <c r="O74" s="202"/>
      <c r="P74" s="202"/>
      <c r="Q74" s="202"/>
      <c r="R74" s="202"/>
      <c r="S74" s="202"/>
      <c r="T74" s="204"/>
      <c r="U74" s="1011"/>
      <c r="V74" s="203"/>
      <c r="W74" s="203"/>
      <c r="X74" s="201"/>
      <c r="Y74" s="171"/>
      <c r="Z74" s="171"/>
      <c r="AA74" s="171"/>
      <c r="AB74" s="171"/>
      <c r="AC74" s="236"/>
      <c r="AD74" s="236"/>
      <c r="AE74" s="236"/>
      <c r="AF74" s="206"/>
      <c r="AG74" s="206"/>
      <c r="AH74" s="206"/>
      <c r="AI74" s="1013"/>
      <c r="AJ74" s="204"/>
      <c r="AK74" s="205"/>
      <c r="AL74" s="201"/>
      <c r="AM74" s="171"/>
      <c r="AN74" s="171"/>
      <c r="AO74" s="171"/>
      <c r="AP74" s="206"/>
      <c r="AQ74" s="235"/>
      <c r="AR74" s="170"/>
      <c r="AS74" s="171"/>
      <c r="AT74" s="206"/>
      <c r="AU74" s="1013"/>
      <c r="AV74" s="23"/>
      <c r="AW74" s="23"/>
      <c r="AX74" s="23"/>
      <c r="AY74" s="237"/>
      <c r="AZ74" s="235"/>
      <c r="BA74" s="235"/>
      <c r="BB74" s="225"/>
      <c r="BC74" s="225"/>
      <c r="BD74" s="171"/>
      <c r="BE74" s="238"/>
      <c r="BF74" s="226"/>
      <c r="BG74" s="226"/>
      <c r="BH74" s="226"/>
      <c r="BI74" s="226"/>
      <c r="BJ74" s="226"/>
      <c r="BK74" s="1011"/>
      <c r="BL74" s="238"/>
      <c r="BM74" s="238"/>
      <c r="BN74" s="225"/>
      <c r="BO74" s="226"/>
      <c r="BP74" s="226"/>
      <c r="BQ74" s="226"/>
      <c r="BR74" s="226"/>
      <c r="BS74" s="238"/>
      <c r="BT74" s="238"/>
      <c r="BU74" s="226"/>
      <c r="BV74" s="238"/>
      <c r="BW74" s="238"/>
      <c r="BX74" s="239"/>
      <c r="BY74" s="1013"/>
      <c r="BZ74" s="226"/>
      <c r="CA74" s="227"/>
      <c r="CB74" s="226"/>
      <c r="CC74" s="171"/>
      <c r="CD74" s="217"/>
      <c r="CE74" s="217"/>
      <c r="CF74" s="239"/>
      <c r="CG74" s="238"/>
      <c r="CH74" s="226"/>
      <c r="CI74" s="226"/>
      <c r="CJ74" s="239"/>
      <c r="CK74" s="1013"/>
    </row>
    <row r="75" spans="8:89">
      <c r="H75" s="182"/>
      <c r="I75" s="183"/>
      <c r="J75" s="229"/>
      <c r="K75" s="185"/>
      <c r="L75" s="186"/>
      <c r="M75" s="186"/>
      <c r="N75" s="186"/>
      <c r="O75" s="187"/>
      <c r="P75" s="187"/>
      <c r="Q75" s="187"/>
      <c r="R75" s="187"/>
      <c r="S75" s="187"/>
      <c r="T75" s="189"/>
      <c r="U75" s="1010"/>
      <c r="V75" s="188"/>
      <c r="W75" s="188"/>
      <c r="X75" s="185"/>
      <c r="Y75" s="186"/>
      <c r="Z75" s="186"/>
      <c r="AA75" s="186"/>
      <c r="AB75" s="186"/>
      <c r="AC75" s="230"/>
      <c r="AD75" s="230"/>
      <c r="AE75" s="230"/>
      <c r="AF75" s="199"/>
      <c r="AG75" s="199"/>
      <c r="AH75" s="199"/>
      <c r="AI75" s="1012"/>
      <c r="AJ75" s="189"/>
      <c r="AK75" s="190"/>
      <c r="AL75" s="185"/>
      <c r="AM75" s="186"/>
      <c r="AN75" s="186"/>
      <c r="AO75" s="186"/>
      <c r="AP75" s="199"/>
      <c r="AQ75" s="229"/>
      <c r="AR75" s="198"/>
      <c r="AS75" s="186"/>
      <c r="AT75" s="199"/>
      <c r="AU75" s="1012"/>
      <c r="AV75" s="23"/>
      <c r="AW75" s="23"/>
      <c r="AX75" s="23"/>
      <c r="AY75" s="231"/>
      <c r="AZ75" s="229"/>
      <c r="BA75" s="229"/>
      <c r="BB75" s="219"/>
      <c r="BC75" s="219"/>
      <c r="BD75" s="186"/>
      <c r="BE75" s="232"/>
      <c r="BF75" s="220"/>
      <c r="BG75" s="220"/>
      <c r="BH75" s="220"/>
      <c r="BI75" s="220"/>
      <c r="BJ75" s="220"/>
      <c r="BK75" s="1010"/>
      <c r="BL75" s="232"/>
      <c r="BM75" s="232"/>
      <c r="BN75" s="219"/>
      <c r="BO75" s="220"/>
      <c r="BP75" s="220"/>
      <c r="BQ75" s="220"/>
      <c r="BR75" s="220"/>
      <c r="BS75" s="220"/>
      <c r="BT75" s="220"/>
      <c r="BU75" s="220"/>
      <c r="BV75" s="220"/>
      <c r="BW75" s="220"/>
      <c r="BX75" s="233"/>
      <c r="BY75" s="1012"/>
      <c r="BZ75" s="220"/>
      <c r="CA75" s="221"/>
      <c r="CB75" s="220"/>
      <c r="CC75" s="234"/>
      <c r="CD75" s="234"/>
      <c r="CE75" s="234"/>
      <c r="CF75" s="233"/>
      <c r="CG75" s="232"/>
      <c r="CH75" s="220"/>
      <c r="CI75" s="220"/>
      <c r="CJ75" s="233"/>
      <c r="CK75" s="1012"/>
    </row>
    <row r="76" spans="8:89">
      <c r="H76" s="182"/>
      <c r="I76" s="200"/>
      <c r="J76" s="235"/>
      <c r="K76" s="201"/>
      <c r="L76" s="171"/>
      <c r="M76" s="171"/>
      <c r="N76" s="171"/>
      <c r="O76" s="202"/>
      <c r="P76" s="202"/>
      <c r="Q76" s="202"/>
      <c r="R76" s="202"/>
      <c r="S76" s="202"/>
      <c r="T76" s="204"/>
      <c r="U76" s="1011"/>
      <c r="V76" s="203"/>
      <c r="W76" s="203"/>
      <c r="X76" s="201"/>
      <c r="Y76" s="171"/>
      <c r="Z76" s="171"/>
      <c r="AA76" s="171"/>
      <c r="AB76" s="171"/>
      <c r="AC76" s="236"/>
      <c r="AD76" s="236"/>
      <c r="AE76" s="236"/>
      <c r="AF76" s="206"/>
      <c r="AG76" s="206"/>
      <c r="AH76" s="206"/>
      <c r="AI76" s="1013"/>
      <c r="AJ76" s="204"/>
      <c r="AK76" s="205"/>
      <c r="AL76" s="201"/>
      <c r="AM76" s="171"/>
      <c r="AN76" s="171"/>
      <c r="AO76" s="171"/>
      <c r="AP76" s="206"/>
      <c r="AQ76" s="235"/>
      <c r="AR76" s="170"/>
      <c r="AS76" s="171"/>
      <c r="AT76" s="206"/>
      <c r="AU76" s="1013"/>
      <c r="AV76" s="23"/>
      <c r="AW76" s="23"/>
      <c r="AX76" s="23"/>
      <c r="AY76" s="237"/>
      <c r="AZ76" s="235"/>
      <c r="BA76" s="235"/>
      <c r="BB76" s="225"/>
      <c r="BC76" s="225"/>
      <c r="BD76" s="171"/>
      <c r="BE76" s="238"/>
      <c r="BF76" s="226"/>
      <c r="BG76" s="226"/>
      <c r="BH76" s="226"/>
      <c r="BI76" s="226"/>
      <c r="BJ76" s="226"/>
      <c r="BK76" s="1011"/>
      <c r="BL76" s="238"/>
      <c r="BM76" s="238"/>
      <c r="BN76" s="225"/>
      <c r="BO76" s="226"/>
      <c r="BP76" s="226"/>
      <c r="BQ76" s="226"/>
      <c r="BR76" s="226"/>
      <c r="BS76" s="238"/>
      <c r="BT76" s="238"/>
      <c r="BU76" s="226"/>
      <c r="BV76" s="238"/>
      <c r="BW76" s="238"/>
      <c r="BX76" s="239"/>
      <c r="BY76" s="1013"/>
      <c r="BZ76" s="226"/>
      <c r="CA76" s="227"/>
      <c r="CB76" s="226"/>
      <c r="CC76" s="171"/>
      <c r="CD76" s="217"/>
      <c r="CE76" s="217"/>
      <c r="CF76" s="239"/>
      <c r="CG76" s="238"/>
      <c r="CH76" s="223"/>
      <c r="CI76" s="226"/>
      <c r="CJ76" s="239"/>
      <c r="CK76" s="1013"/>
    </row>
    <row r="77" spans="8:89">
      <c r="H77" s="182"/>
      <c r="I77" s="183"/>
      <c r="J77" s="229"/>
      <c r="K77" s="185"/>
      <c r="L77" s="186"/>
      <c r="M77" s="186"/>
      <c r="N77" s="186"/>
      <c r="O77" s="187"/>
      <c r="P77" s="187"/>
      <c r="Q77" s="187"/>
      <c r="R77" s="187"/>
      <c r="S77" s="187"/>
      <c r="T77" s="189"/>
      <c r="U77" s="1010"/>
      <c r="V77" s="188"/>
      <c r="W77" s="188"/>
      <c r="X77" s="185"/>
      <c r="Y77" s="186"/>
      <c r="Z77" s="186"/>
      <c r="AA77" s="186"/>
      <c r="AB77" s="186"/>
      <c r="AC77" s="230"/>
      <c r="AD77" s="230"/>
      <c r="AE77" s="230"/>
      <c r="AF77" s="199"/>
      <c r="AG77" s="199"/>
      <c r="AH77" s="199"/>
      <c r="AI77" s="1012"/>
      <c r="AJ77" s="189"/>
      <c r="AK77" s="190"/>
      <c r="AL77" s="185"/>
      <c r="AM77" s="186"/>
      <c r="AN77" s="186"/>
      <c r="AO77" s="186"/>
      <c r="AP77" s="199"/>
      <c r="AQ77" s="229"/>
      <c r="AR77" s="198"/>
      <c r="AS77" s="186"/>
      <c r="AT77" s="199"/>
      <c r="AU77" s="1012"/>
      <c r="AV77" s="23"/>
      <c r="AW77" s="23"/>
      <c r="AX77" s="23"/>
      <c r="AY77" s="231"/>
      <c r="AZ77" s="229"/>
      <c r="BA77" s="229"/>
      <c r="BB77" s="219"/>
      <c r="BC77" s="219"/>
      <c r="BD77" s="186"/>
      <c r="BE77" s="232"/>
      <c r="BF77" s="220"/>
      <c r="BG77" s="220"/>
      <c r="BH77" s="220"/>
      <c r="BI77" s="220"/>
      <c r="BJ77" s="220"/>
      <c r="BK77" s="1010"/>
      <c r="BL77" s="232"/>
      <c r="BM77" s="232"/>
      <c r="BN77" s="219"/>
      <c r="BO77" s="220"/>
      <c r="BP77" s="220"/>
      <c r="BQ77" s="220"/>
      <c r="BR77" s="220"/>
      <c r="BS77" s="220"/>
      <c r="BT77" s="220"/>
      <c r="BU77" s="220"/>
      <c r="BV77" s="220"/>
      <c r="BW77" s="220"/>
      <c r="BX77" s="233"/>
      <c r="BY77" s="1012"/>
      <c r="BZ77" s="220"/>
      <c r="CA77" s="221"/>
      <c r="CB77" s="220"/>
      <c r="CC77" s="234"/>
      <c r="CD77" s="234"/>
      <c r="CE77" s="234"/>
      <c r="CF77" s="233"/>
      <c r="CG77" s="232"/>
      <c r="CH77" s="220"/>
      <c r="CI77" s="220"/>
      <c r="CJ77" s="233"/>
      <c r="CK77" s="1012"/>
    </row>
    <row r="78" spans="8:89">
      <c r="H78" s="182"/>
      <c r="I78" s="200"/>
      <c r="J78" s="235"/>
      <c r="K78" s="201"/>
      <c r="L78" s="171"/>
      <c r="M78" s="171"/>
      <c r="N78" s="171"/>
      <c r="O78" s="202"/>
      <c r="P78" s="202"/>
      <c r="Q78" s="202"/>
      <c r="R78" s="202"/>
      <c r="S78" s="202"/>
      <c r="T78" s="204"/>
      <c r="U78" s="1011"/>
      <c r="V78" s="203"/>
      <c r="W78" s="203"/>
      <c r="X78" s="201"/>
      <c r="Y78" s="171"/>
      <c r="Z78" s="171"/>
      <c r="AA78" s="171"/>
      <c r="AB78" s="171"/>
      <c r="AC78" s="236"/>
      <c r="AD78" s="236"/>
      <c r="AE78" s="236"/>
      <c r="AF78" s="206"/>
      <c r="AG78" s="206"/>
      <c r="AH78" s="206"/>
      <c r="AI78" s="1013"/>
      <c r="AJ78" s="204"/>
      <c r="AK78" s="205"/>
      <c r="AL78" s="201"/>
      <c r="AM78" s="171"/>
      <c r="AN78" s="171"/>
      <c r="AO78" s="171"/>
      <c r="AP78" s="206"/>
      <c r="AQ78" s="235"/>
      <c r="AR78" s="170"/>
      <c r="AS78" s="171"/>
      <c r="AT78" s="206"/>
      <c r="AU78" s="1013"/>
      <c r="AV78" s="23"/>
      <c r="AW78" s="23"/>
      <c r="AX78" s="23"/>
      <c r="AY78" s="240"/>
      <c r="AZ78" s="181"/>
      <c r="BA78" s="181"/>
      <c r="BB78" s="222"/>
      <c r="BC78" s="222"/>
      <c r="BD78" s="174"/>
      <c r="BE78" s="241"/>
      <c r="BF78" s="223"/>
      <c r="BG78" s="223"/>
      <c r="BH78" s="223"/>
      <c r="BI78" s="223"/>
      <c r="BJ78" s="223"/>
      <c r="BK78" s="1011"/>
      <c r="BL78" s="241"/>
      <c r="BM78" s="241"/>
      <c r="BN78" s="222"/>
      <c r="BO78" s="223"/>
      <c r="BP78" s="223"/>
      <c r="BQ78" s="223"/>
      <c r="BR78" s="223"/>
      <c r="BS78" s="241"/>
      <c r="BT78" s="241"/>
      <c r="BU78" s="223"/>
      <c r="BV78" s="241"/>
      <c r="BW78" s="241"/>
      <c r="BX78" s="242"/>
      <c r="BY78" s="1013"/>
      <c r="BZ78" s="223"/>
      <c r="CA78" s="224"/>
      <c r="CB78" s="223"/>
      <c r="CC78" s="174"/>
      <c r="CD78" s="243"/>
      <c r="CE78" s="243"/>
      <c r="CF78" s="242"/>
      <c r="CG78" s="241"/>
      <c r="CH78" s="226"/>
      <c r="CI78" s="223"/>
      <c r="CJ78" s="242"/>
      <c r="CK78" s="1013"/>
    </row>
    <row r="79" spans="8:89">
      <c r="H79" s="182"/>
      <c r="I79" s="183"/>
      <c r="J79" s="229"/>
      <c r="K79" s="185"/>
      <c r="L79" s="186"/>
      <c r="M79" s="186"/>
      <c r="N79" s="186"/>
      <c r="O79" s="187"/>
      <c r="P79" s="187"/>
      <c r="Q79" s="187"/>
      <c r="R79" s="187"/>
      <c r="S79" s="187"/>
      <c r="T79" s="189"/>
      <c r="U79" s="1010"/>
      <c r="V79" s="188"/>
      <c r="W79" s="188"/>
      <c r="X79" s="185"/>
      <c r="Y79" s="186"/>
      <c r="Z79" s="186"/>
      <c r="AA79" s="186"/>
      <c r="AB79" s="186"/>
      <c r="AC79" s="230"/>
      <c r="AD79" s="230"/>
      <c r="AE79" s="230"/>
      <c r="AF79" s="199"/>
      <c r="AG79" s="199"/>
      <c r="AH79" s="199"/>
      <c r="AI79" s="1012"/>
      <c r="AJ79" s="189"/>
      <c r="AK79" s="190"/>
      <c r="AL79" s="185"/>
      <c r="AM79" s="186"/>
      <c r="AN79" s="186"/>
      <c r="AO79" s="186"/>
      <c r="AP79" s="199"/>
      <c r="AQ79" s="229"/>
      <c r="AR79" s="198"/>
      <c r="AS79" s="186"/>
      <c r="AT79" s="199"/>
      <c r="AU79" s="1012"/>
      <c r="AV79" s="23"/>
      <c r="AW79" s="23"/>
      <c r="AX79" s="23"/>
      <c r="AY79" s="231"/>
      <c r="AZ79" s="229"/>
      <c r="BA79" s="229"/>
      <c r="BB79" s="219"/>
      <c r="BC79" s="219"/>
      <c r="BD79" s="186"/>
      <c r="BE79" s="232"/>
      <c r="BF79" s="220"/>
      <c r="BG79" s="220"/>
      <c r="BH79" s="220"/>
      <c r="BI79" s="220"/>
      <c r="BJ79" s="220"/>
      <c r="BK79" s="1010"/>
      <c r="BL79" s="232"/>
      <c r="BM79" s="232"/>
      <c r="BN79" s="219"/>
      <c r="BO79" s="220"/>
      <c r="BP79" s="220"/>
      <c r="BQ79" s="220"/>
      <c r="BR79" s="220"/>
      <c r="BS79" s="220"/>
      <c r="BT79" s="220"/>
      <c r="BU79" s="220"/>
      <c r="BV79" s="220"/>
      <c r="BW79" s="220"/>
      <c r="BX79" s="233"/>
      <c r="BY79" s="1012"/>
      <c r="BZ79" s="220"/>
      <c r="CA79" s="221"/>
      <c r="CB79" s="220"/>
      <c r="CC79" s="234"/>
      <c r="CD79" s="234"/>
      <c r="CE79" s="234"/>
      <c r="CF79" s="233"/>
      <c r="CG79" s="232"/>
      <c r="CH79" s="220"/>
      <c r="CI79" s="220"/>
      <c r="CJ79" s="233"/>
      <c r="CK79" s="1012"/>
    </row>
    <row r="80" spans="8:89">
      <c r="H80" s="182"/>
      <c r="I80" s="200"/>
      <c r="J80" s="235"/>
      <c r="K80" s="201"/>
      <c r="L80" s="171"/>
      <c r="M80" s="171"/>
      <c r="N80" s="171"/>
      <c r="O80" s="202"/>
      <c r="P80" s="202"/>
      <c r="Q80" s="202"/>
      <c r="R80" s="202"/>
      <c r="S80" s="202"/>
      <c r="T80" s="204"/>
      <c r="U80" s="1011"/>
      <c r="V80" s="203"/>
      <c r="W80" s="203"/>
      <c r="X80" s="201"/>
      <c r="Y80" s="171"/>
      <c r="Z80" s="171"/>
      <c r="AA80" s="171"/>
      <c r="AB80" s="171"/>
      <c r="AC80" s="236"/>
      <c r="AD80" s="236"/>
      <c r="AE80" s="236"/>
      <c r="AF80" s="206"/>
      <c r="AG80" s="206"/>
      <c r="AH80" s="206"/>
      <c r="AI80" s="1013"/>
      <c r="AJ80" s="204"/>
      <c r="AK80" s="205"/>
      <c r="AL80" s="201"/>
      <c r="AM80" s="171"/>
      <c r="AN80" s="171"/>
      <c r="AO80" s="171"/>
      <c r="AP80" s="206"/>
      <c r="AQ80" s="235"/>
      <c r="AR80" s="170"/>
      <c r="AS80" s="171"/>
      <c r="AT80" s="206"/>
      <c r="AU80" s="1013"/>
      <c r="AV80" s="23"/>
      <c r="AW80" s="23"/>
      <c r="AX80" s="23"/>
      <c r="AY80" s="237"/>
      <c r="AZ80" s="235"/>
      <c r="BA80" s="235"/>
      <c r="BB80" s="225"/>
      <c r="BC80" s="225"/>
      <c r="BD80" s="171"/>
      <c r="BE80" s="238"/>
      <c r="BF80" s="226"/>
      <c r="BG80" s="226"/>
      <c r="BH80" s="226"/>
      <c r="BI80" s="226"/>
      <c r="BJ80" s="226"/>
      <c r="BK80" s="1011"/>
      <c r="BL80" s="238"/>
      <c r="BM80" s="238"/>
      <c r="BN80" s="225"/>
      <c r="BO80" s="226"/>
      <c r="BP80" s="226"/>
      <c r="BQ80" s="226"/>
      <c r="BR80" s="226"/>
      <c r="BS80" s="238"/>
      <c r="BT80" s="238"/>
      <c r="BU80" s="226"/>
      <c r="BV80" s="238"/>
      <c r="BW80" s="238"/>
      <c r="BX80" s="239"/>
      <c r="BY80" s="1013"/>
      <c r="BZ80" s="226"/>
      <c r="CA80" s="227"/>
      <c r="CB80" s="226"/>
      <c r="CC80" s="171"/>
      <c r="CD80" s="217"/>
      <c r="CE80" s="217"/>
      <c r="CF80" s="239"/>
      <c r="CG80" s="238"/>
      <c r="CH80" s="223"/>
      <c r="CI80" s="226"/>
      <c r="CJ80" s="239"/>
      <c r="CK80" s="1013"/>
    </row>
    <row r="81" spans="8:89">
      <c r="H81" s="182"/>
      <c r="I81" s="183"/>
      <c r="J81" s="229"/>
      <c r="K81" s="185"/>
      <c r="L81" s="186"/>
      <c r="M81" s="186"/>
      <c r="N81" s="186"/>
      <c r="O81" s="187"/>
      <c r="P81" s="187"/>
      <c r="Q81" s="187"/>
      <c r="R81" s="187"/>
      <c r="S81" s="187"/>
      <c r="T81" s="189"/>
      <c r="U81" s="1010"/>
      <c r="V81" s="188"/>
      <c r="W81" s="188"/>
      <c r="X81" s="185"/>
      <c r="Y81" s="186"/>
      <c r="Z81" s="186"/>
      <c r="AA81" s="186"/>
      <c r="AB81" s="186"/>
      <c r="AC81" s="230"/>
      <c r="AD81" s="230"/>
      <c r="AE81" s="230"/>
      <c r="AF81" s="199"/>
      <c r="AG81" s="199"/>
      <c r="AH81" s="199"/>
      <c r="AI81" s="1012"/>
      <c r="AJ81" s="189"/>
      <c r="AK81" s="190"/>
      <c r="AL81" s="185"/>
      <c r="AM81" s="186"/>
      <c r="AN81" s="186"/>
      <c r="AO81" s="186"/>
      <c r="AP81" s="199"/>
      <c r="AQ81" s="229"/>
      <c r="AR81" s="198"/>
      <c r="AS81" s="186"/>
      <c r="AT81" s="199"/>
      <c r="AU81" s="1012"/>
      <c r="AV81" s="23"/>
      <c r="AW81" s="23"/>
      <c r="AX81" s="23"/>
      <c r="AY81" s="231"/>
      <c r="AZ81" s="229"/>
      <c r="BA81" s="229"/>
      <c r="BB81" s="219"/>
      <c r="BC81" s="219"/>
      <c r="BD81" s="186"/>
      <c r="BE81" s="232"/>
      <c r="BF81" s="220"/>
      <c r="BG81" s="220"/>
      <c r="BH81" s="220"/>
      <c r="BI81" s="220"/>
      <c r="BJ81" s="220"/>
      <c r="BK81" s="1010"/>
      <c r="BL81" s="232"/>
      <c r="BM81" s="232"/>
      <c r="BN81" s="219"/>
      <c r="BO81" s="220"/>
      <c r="BP81" s="220"/>
      <c r="BQ81" s="220"/>
      <c r="BR81" s="220"/>
      <c r="BS81" s="220"/>
      <c r="BT81" s="220"/>
      <c r="BU81" s="220"/>
      <c r="BV81" s="220"/>
      <c r="BW81" s="220"/>
      <c r="BX81" s="233"/>
      <c r="BY81" s="1012"/>
      <c r="BZ81" s="220"/>
      <c r="CA81" s="221"/>
      <c r="CB81" s="220"/>
      <c r="CC81" s="234"/>
      <c r="CD81" s="234"/>
      <c r="CE81" s="234"/>
      <c r="CF81" s="233"/>
      <c r="CG81" s="232"/>
      <c r="CH81" s="220"/>
      <c r="CI81" s="220"/>
      <c r="CJ81" s="233"/>
      <c r="CK81" s="1012"/>
    </row>
    <row r="82" spans="8:89">
      <c r="H82" s="182"/>
      <c r="I82" s="200"/>
      <c r="J82" s="235"/>
      <c r="K82" s="201"/>
      <c r="L82" s="171"/>
      <c r="M82" s="171"/>
      <c r="N82" s="171"/>
      <c r="O82" s="202"/>
      <c r="P82" s="202"/>
      <c r="Q82" s="202"/>
      <c r="R82" s="202"/>
      <c r="S82" s="202"/>
      <c r="T82" s="204"/>
      <c r="U82" s="1011"/>
      <c r="V82" s="203"/>
      <c r="W82" s="203"/>
      <c r="X82" s="201"/>
      <c r="Y82" s="171"/>
      <c r="Z82" s="171"/>
      <c r="AA82" s="171"/>
      <c r="AB82" s="171"/>
      <c r="AC82" s="236"/>
      <c r="AD82" s="236"/>
      <c r="AE82" s="236"/>
      <c r="AF82" s="206"/>
      <c r="AG82" s="206"/>
      <c r="AH82" s="206"/>
      <c r="AI82" s="1013"/>
      <c r="AJ82" s="204"/>
      <c r="AK82" s="205"/>
      <c r="AL82" s="201"/>
      <c r="AM82" s="171"/>
      <c r="AN82" s="171"/>
      <c r="AO82" s="171"/>
      <c r="AP82" s="206"/>
      <c r="AQ82" s="235"/>
      <c r="AR82" s="170"/>
      <c r="AS82" s="171"/>
      <c r="AT82" s="206"/>
      <c r="AU82" s="1013"/>
      <c r="AV82" s="23"/>
      <c r="AW82" s="23"/>
      <c r="AX82" s="23"/>
      <c r="AY82" s="237"/>
      <c r="AZ82" s="235"/>
      <c r="BA82" s="235"/>
      <c r="BB82" s="225"/>
      <c r="BC82" s="225"/>
      <c r="BD82" s="171"/>
      <c r="BE82" s="238"/>
      <c r="BF82" s="226"/>
      <c r="BG82" s="226"/>
      <c r="BH82" s="226"/>
      <c r="BI82" s="226"/>
      <c r="BJ82" s="226"/>
      <c r="BK82" s="1011"/>
      <c r="BL82" s="238"/>
      <c r="BM82" s="238"/>
      <c r="BN82" s="225"/>
      <c r="BO82" s="226"/>
      <c r="BP82" s="226"/>
      <c r="BQ82" s="226"/>
      <c r="BR82" s="226"/>
      <c r="BS82" s="238"/>
      <c r="BT82" s="238"/>
      <c r="BU82" s="226"/>
      <c r="BV82" s="238"/>
      <c r="BW82" s="238"/>
      <c r="BX82" s="239"/>
      <c r="BY82" s="1013"/>
      <c r="BZ82" s="226"/>
      <c r="CA82" s="227"/>
      <c r="CB82" s="226"/>
      <c r="CC82" s="171"/>
      <c r="CD82" s="217"/>
      <c r="CE82" s="217"/>
      <c r="CF82" s="239"/>
      <c r="CG82" s="238"/>
      <c r="CH82" s="226"/>
      <c r="CI82" s="226"/>
      <c r="CJ82" s="239"/>
      <c r="CK82" s="1013"/>
    </row>
    <row r="83" spans="8:89">
      <c r="H83" s="182"/>
      <c r="I83" s="183"/>
      <c r="J83" s="229"/>
      <c r="K83" s="185"/>
      <c r="L83" s="186"/>
      <c r="M83" s="186"/>
      <c r="N83" s="186"/>
      <c r="O83" s="187"/>
      <c r="P83" s="187"/>
      <c r="Q83" s="187"/>
      <c r="R83" s="187"/>
      <c r="S83" s="187"/>
      <c r="T83" s="189"/>
      <c r="U83" s="1010"/>
      <c r="V83" s="188"/>
      <c r="W83" s="188"/>
      <c r="X83" s="185"/>
      <c r="Y83" s="186"/>
      <c r="Z83" s="186"/>
      <c r="AA83" s="186"/>
      <c r="AB83" s="186"/>
      <c r="AC83" s="230"/>
      <c r="AD83" s="230"/>
      <c r="AE83" s="230"/>
      <c r="AF83" s="199"/>
      <c r="AG83" s="199"/>
      <c r="AH83" s="199"/>
      <c r="AI83" s="1012"/>
      <c r="AJ83" s="189"/>
      <c r="AK83" s="190"/>
      <c r="AL83" s="185"/>
      <c r="AM83" s="186"/>
      <c r="AN83" s="186"/>
      <c r="AO83" s="186"/>
      <c r="AP83" s="199"/>
      <c r="AQ83" s="229"/>
      <c r="AR83" s="198"/>
      <c r="AS83" s="186"/>
      <c r="AT83" s="199"/>
      <c r="AU83" s="1012"/>
      <c r="AV83" s="23"/>
      <c r="AW83" s="23"/>
      <c r="AX83" s="23"/>
      <c r="AY83" s="231"/>
      <c r="AZ83" s="229"/>
      <c r="BA83" s="229"/>
      <c r="BB83" s="219"/>
      <c r="BC83" s="219"/>
      <c r="BD83" s="186"/>
      <c r="BE83" s="232"/>
      <c r="BF83" s="220"/>
      <c r="BG83" s="220"/>
      <c r="BH83" s="220"/>
      <c r="BI83" s="220"/>
      <c r="BJ83" s="220"/>
      <c r="BK83" s="1010"/>
      <c r="BL83" s="232"/>
      <c r="BM83" s="232"/>
      <c r="BN83" s="219"/>
      <c r="BO83" s="220"/>
      <c r="BP83" s="220"/>
      <c r="BQ83" s="220"/>
      <c r="BR83" s="220"/>
      <c r="BS83" s="220"/>
      <c r="BT83" s="220"/>
      <c r="BU83" s="220"/>
      <c r="BV83" s="220"/>
      <c r="BW83" s="220"/>
      <c r="BX83" s="233"/>
      <c r="BY83" s="1012"/>
      <c r="BZ83" s="220"/>
      <c r="CA83" s="221"/>
      <c r="CB83" s="220"/>
      <c r="CC83" s="234"/>
      <c r="CD83" s="234"/>
      <c r="CE83" s="234"/>
      <c r="CF83" s="233"/>
      <c r="CG83" s="232"/>
      <c r="CH83" s="220"/>
      <c r="CI83" s="220"/>
      <c r="CJ83" s="233"/>
      <c r="CK83" s="1012"/>
    </row>
    <row r="84" spans="8:89">
      <c r="H84" s="182"/>
      <c r="I84" s="200"/>
      <c r="J84" s="235"/>
      <c r="K84" s="201"/>
      <c r="L84" s="171"/>
      <c r="M84" s="171"/>
      <c r="N84" s="171"/>
      <c r="O84" s="202"/>
      <c r="P84" s="202"/>
      <c r="Q84" s="202"/>
      <c r="R84" s="202"/>
      <c r="S84" s="202"/>
      <c r="T84" s="204"/>
      <c r="U84" s="1011"/>
      <c r="V84" s="203"/>
      <c r="W84" s="203"/>
      <c r="X84" s="201"/>
      <c r="Y84" s="171"/>
      <c r="Z84" s="171"/>
      <c r="AA84" s="171"/>
      <c r="AB84" s="171"/>
      <c r="AC84" s="236"/>
      <c r="AD84" s="236"/>
      <c r="AE84" s="236"/>
      <c r="AF84" s="206"/>
      <c r="AG84" s="206"/>
      <c r="AH84" s="206"/>
      <c r="AI84" s="1013"/>
      <c r="AJ84" s="204"/>
      <c r="AK84" s="205"/>
      <c r="AL84" s="201"/>
      <c r="AM84" s="171"/>
      <c r="AN84" s="171"/>
      <c r="AO84" s="171"/>
      <c r="AP84" s="206"/>
      <c r="AQ84" s="235"/>
      <c r="AR84" s="170"/>
      <c r="AS84" s="171"/>
      <c r="AT84" s="206"/>
      <c r="AU84" s="1013"/>
      <c r="AV84" s="23"/>
      <c r="AW84" s="23"/>
      <c r="AX84" s="23"/>
      <c r="AY84" s="237"/>
      <c r="AZ84" s="235"/>
      <c r="BA84" s="235"/>
      <c r="BB84" s="225"/>
      <c r="BC84" s="225"/>
      <c r="BD84" s="171"/>
      <c r="BE84" s="238"/>
      <c r="BF84" s="226"/>
      <c r="BG84" s="226"/>
      <c r="BH84" s="226"/>
      <c r="BI84" s="226"/>
      <c r="BJ84" s="226"/>
      <c r="BK84" s="1011"/>
      <c r="BL84" s="238"/>
      <c r="BM84" s="238"/>
      <c r="BN84" s="225"/>
      <c r="BO84" s="226"/>
      <c r="BP84" s="226"/>
      <c r="BQ84" s="226"/>
      <c r="BR84" s="226"/>
      <c r="BS84" s="238"/>
      <c r="BT84" s="238"/>
      <c r="BU84" s="226"/>
      <c r="BV84" s="238"/>
      <c r="BW84" s="238"/>
      <c r="BX84" s="239"/>
      <c r="BY84" s="1013"/>
      <c r="BZ84" s="226"/>
      <c r="CA84" s="227"/>
      <c r="CB84" s="226"/>
      <c r="CC84" s="171"/>
      <c r="CD84" s="217"/>
      <c r="CE84" s="217"/>
      <c r="CF84" s="239"/>
      <c r="CG84" s="238"/>
      <c r="CH84" s="223"/>
      <c r="CI84" s="226"/>
      <c r="CJ84" s="239"/>
      <c r="CK84" s="1013"/>
    </row>
    <row r="85" spans="8:89">
      <c r="H85" s="182"/>
      <c r="I85" s="183"/>
      <c r="J85" s="229"/>
      <c r="K85" s="185"/>
      <c r="L85" s="186"/>
      <c r="M85" s="186"/>
      <c r="N85" s="186"/>
      <c r="O85" s="187"/>
      <c r="P85" s="187"/>
      <c r="Q85" s="187"/>
      <c r="R85" s="187"/>
      <c r="S85" s="187"/>
      <c r="T85" s="189"/>
      <c r="U85" s="1010"/>
      <c r="V85" s="188"/>
      <c r="W85" s="188"/>
      <c r="X85" s="185"/>
      <c r="Y85" s="186"/>
      <c r="Z85" s="186"/>
      <c r="AA85" s="186"/>
      <c r="AB85" s="186"/>
      <c r="AC85" s="230"/>
      <c r="AD85" s="230"/>
      <c r="AE85" s="230"/>
      <c r="AF85" s="199"/>
      <c r="AG85" s="199"/>
      <c r="AH85" s="199"/>
      <c r="AI85" s="1012"/>
      <c r="AJ85" s="189"/>
      <c r="AK85" s="190"/>
      <c r="AL85" s="185"/>
      <c r="AM85" s="186"/>
      <c r="AN85" s="186"/>
      <c r="AO85" s="186"/>
      <c r="AP85" s="199"/>
      <c r="AQ85" s="229"/>
      <c r="AR85" s="198"/>
      <c r="AS85" s="186"/>
      <c r="AT85" s="199"/>
      <c r="AU85" s="1012"/>
      <c r="AV85" s="23"/>
      <c r="AW85" s="23"/>
      <c r="AX85" s="23"/>
      <c r="AY85" s="231"/>
      <c r="AZ85" s="229"/>
      <c r="BA85" s="229"/>
      <c r="BB85" s="219"/>
      <c r="BC85" s="219"/>
      <c r="BD85" s="186"/>
      <c r="BE85" s="232"/>
      <c r="BF85" s="220"/>
      <c r="BG85" s="220"/>
      <c r="BH85" s="220"/>
      <c r="BI85" s="220"/>
      <c r="BJ85" s="220"/>
      <c r="BK85" s="1010"/>
      <c r="BL85" s="232"/>
      <c r="BM85" s="232"/>
      <c r="BN85" s="219"/>
      <c r="BO85" s="220"/>
      <c r="BP85" s="220"/>
      <c r="BQ85" s="220"/>
      <c r="BR85" s="220"/>
      <c r="BS85" s="220"/>
      <c r="BT85" s="220"/>
      <c r="BU85" s="220"/>
      <c r="BV85" s="220"/>
      <c r="BW85" s="220"/>
      <c r="BX85" s="233"/>
      <c r="BY85" s="1012"/>
      <c r="BZ85" s="220"/>
      <c r="CA85" s="221"/>
      <c r="CB85" s="220"/>
      <c r="CC85" s="234"/>
      <c r="CD85" s="234"/>
      <c r="CE85" s="234"/>
      <c r="CF85" s="233"/>
      <c r="CG85" s="232"/>
      <c r="CH85" s="220"/>
      <c r="CI85" s="220"/>
      <c r="CJ85" s="233"/>
      <c r="CK85" s="1012"/>
    </row>
    <row r="86" spans="8:89">
      <c r="H86" s="182"/>
      <c r="I86" s="200"/>
      <c r="J86" s="235"/>
      <c r="K86" s="201"/>
      <c r="L86" s="171"/>
      <c r="M86" s="171"/>
      <c r="N86" s="171"/>
      <c r="O86" s="202"/>
      <c r="P86" s="202"/>
      <c r="Q86" s="202"/>
      <c r="R86" s="202"/>
      <c r="S86" s="202"/>
      <c r="T86" s="204"/>
      <c r="U86" s="1011"/>
      <c r="V86" s="203"/>
      <c r="W86" s="203"/>
      <c r="X86" s="201"/>
      <c r="Y86" s="171"/>
      <c r="Z86" s="171"/>
      <c r="AA86" s="171"/>
      <c r="AB86" s="171"/>
      <c r="AC86" s="236"/>
      <c r="AD86" s="236"/>
      <c r="AE86" s="236"/>
      <c r="AF86" s="206"/>
      <c r="AG86" s="206"/>
      <c r="AH86" s="206"/>
      <c r="AI86" s="1013"/>
      <c r="AJ86" s="204"/>
      <c r="AK86" s="205"/>
      <c r="AL86" s="201"/>
      <c r="AM86" s="171"/>
      <c r="AN86" s="171"/>
      <c r="AO86" s="171"/>
      <c r="AP86" s="206"/>
      <c r="AQ86" s="235"/>
      <c r="AR86" s="170"/>
      <c r="AS86" s="171"/>
      <c r="AT86" s="206"/>
      <c r="AU86" s="1013"/>
      <c r="AV86" s="23"/>
      <c r="AW86" s="23"/>
      <c r="AX86" s="23"/>
      <c r="AY86" s="237"/>
      <c r="AZ86" s="235"/>
      <c r="BA86" s="235"/>
      <c r="BB86" s="225"/>
      <c r="BC86" s="225"/>
      <c r="BD86" s="171"/>
      <c r="BE86" s="238"/>
      <c r="BF86" s="226"/>
      <c r="BG86" s="226"/>
      <c r="BH86" s="226"/>
      <c r="BI86" s="226"/>
      <c r="BJ86" s="226"/>
      <c r="BK86" s="1011"/>
      <c r="BL86" s="238"/>
      <c r="BM86" s="238"/>
      <c r="BN86" s="225"/>
      <c r="BO86" s="226"/>
      <c r="BP86" s="226"/>
      <c r="BQ86" s="226"/>
      <c r="BR86" s="226"/>
      <c r="BS86" s="238"/>
      <c r="BT86" s="238"/>
      <c r="BU86" s="226"/>
      <c r="BV86" s="238"/>
      <c r="BW86" s="238"/>
      <c r="BX86" s="239"/>
      <c r="BY86" s="1013"/>
      <c r="BZ86" s="226"/>
      <c r="CA86" s="227"/>
      <c r="CB86" s="226"/>
      <c r="CC86" s="171"/>
      <c r="CD86" s="217"/>
      <c r="CE86" s="217"/>
      <c r="CF86" s="239"/>
      <c r="CG86" s="238"/>
      <c r="CH86" s="226"/>
      <c r="CI86" s="226"/>
      <c r="CJ86" s="239"/>
      <c r="CK86" s="1013"/>
    </row>
    <row r="87" spans="8:89">
      <c r="H87" s="182"/>
      <c r="I87" s="183"/>
      <c r="J87" s="229"/>
      <c r="K87" s="185"/>
      <c r="L87" s="186"/>
      <c r="M87" s="186"/>
      <c r="N87" s="186"/>
      <c r="O87" s="187"/>
      <c r="P87" s="187"/>
      <c r="Q87" s="187"/>
      <c r="R87" s="187"/>
      <c r="S87" s="187"/>
      <c r="T87" s="189"/>
      <c r="U87" s="1010"/>
      <c r="V87" s="188"/>
      <c r="W87" s="188"/>
      <c r="X87" s="185"/>
      <c r="Y87" s="186"/>
      <c r="Z87" s="186"/>
      <c r="AA87" s="186"/>
      <c r="AB87" s="186"/>
      <c r="AC87" s="230"/>
      <c r="AD87" s="230"/>
      <c r="AE87" s="230"/>
      <c r="AF87" s="199"/>
      <c r="AG87" s="199"/>
      <c r="AH87" s="199"/>
      <c r="AI87" s="1012"/>
      <c r="AJ87" s="189"/>
      <c r="AK87" s="190"/>
      <c r="AL87" s="185"/>
      <c r="AM87" s="186"/>
      <c r="AN87" s="186"/>
      <c r="AO87" s="186"/>
      <c r="AP87" s="199"/>
      <c r="AQ87" s="229"/>
      <c r="AR87" s="198"/>
      <c r="AS87" s="186"/>
      <c r="AT87" s="199"/>
      <c r="AU87" s="1012"/>
      <c r="AV87" s="23"/>
      <c r="AW87" s="23"/>
      <c r="AX87" s="23"/>
      <c r="AY87" s="231"/>
      <c r="AZ87" s="229"/>
      <c r="BA87" s="229"/>
      <c r="BB87" s="219"/>
      <c r="BC87" s="219"/>
      <c r="BD87" s="186"/>
      <c r="BE87" s="232"/>
      <c r="BF87" s="220"/>
      <c r="BG87" s="220"/>
      <c r="BH87" s="220"/>
      <c r="BI87" s="220"/>
      <c r="BJ87" s="220"/>
      <c r="BK87" s="1010"/>
      <c r="BL87" s="232"/>
      <c r="BM87" s="232"/>
      <c r="BN87" s="219"/>
      <c r="BO87" s="220"/>
      <c r="BP87" s="220"/>
      <c r="BQ87" s="220"/>
      <c r="BR87" s="220"/>
      <c r="BS87" s="220"/>
      <c r="BT87" s="220"/>
      <c r="BU87" s="220"/>
      <c r="BV87" s="220"/>
      <c r="BW87" s="220"/>
      <c r="BX87" s="233"/>
      <c r="BY87" s="1012"/>
      <c r="BZ87" s="220"/>
      <c r="CA87" s="221"/>
      <c r="CB87" s="220"/>
      <c r="CC87" s="234"/>
      <c r="CD87" s="234"/>
      <c r="CE87" s="234"/>
      <c r="CF87" s="233"/>
      <c r="CG87" s="232"/>
      <c r="CH87" s="220"/>
      <c r="CI87" s="220"/>
      <c r="CJ87" s="233"/>
      <c r="CK87" s="1012"/>
    </row>
    <row r="88" spans="8:89">
      <c r="H88" s="182"/>
      <c r="I88" s="200"/>
      <c r="J88" s="235"/>
      <c r="K88" s="201"/>
      <c r="L88" s="171"/>
      <c r="M88" s="171"/>
      <c r="N88" s="171"/>
      <c r="O88" s="202"/>
      <c r="P88" s="202"/>
      <c r="Q88" s="202"/>
      <c r="R88" s="202"/>
      <c r="S88" s="202"/>
      <c r="T88" s="204"/>
      <c r="U88" s="1011"/>
      <c r="V88" s="203"/>
      <c r="W88" s="203"/>
      <c r="X88" s="201"/>
      <c r="Y88" s="171"/>
      <c r="Z88" s="171"/>
      <c r="AA88" s="171"/>
      <c r="AB88" s="171"/>
      <c r="AC88" s="236"/>
      <c r="AD88" s="236"/>
      <c r="AE88" s="236"/>
      <c r="AF88" s="206"/>
      <c r="AG88" s="206"/>
      <c r="AH88" s="206"/>
      <c r="AI88" s="1013"/>
      <c r="AJ88" s="204"/>
      <c r="AK88" s="205"/>
      <c r="AL88" s="201"/>
      <c r="AM88" s="171"/>
      <c r="AN88" s="171"/>
      <c r="AO88" s="171"/>
      <c r="AP88" s="206"/>
      <c r="AQ88" s="235"/>
      <c r="AR88" s="170"/>
      <c r="AS88" s="171"/>
      <c r="AT88" s="206"/>
      <c r="AU88" s="1013"/>
      <c r="AV88" s="23"/>
      <c r="AW88" s="23"/>
      <c r="AX88" s="23"/>
      <c r="AY88" s="237"/>
      <c r="AZ88" s="235"/>
      <c r="BA88" s="235"/>
      <c r="BB88" s="225"/>
      <c r="BC88" s="225"/>
      <c r="BD88" s="171"/>
      <c r="BE88" s="238"/>
      <c r="BF88" s="226"/>
      <c r="BG88" s="226"/>
      <c r="BH88" s="226"/>
      <c r="BI88" s="226"/>
      <c r="BJ88" s="226"/>
      <c r="BK88" s="1011"/>
      <c r="BL88" s="238"/>
      <c r="BM88" s="238"/>
      <c r="BN88" s="225"/>
      <c r="BO88" s="226"/>
      <c r="BP88" s="226"/>
      <c r="BQ88" s="226"/>
      <c r="BR88" s="226"/>
      <c r="BS88" s="238"/>
      <c r="BT88" s="238"/>
      <c r="BU88" s="226"/>
      <c r="BV88" s="238"/>
      <c r="BW88" s="238"/>
      <c r="BX88" s="239"/>
      <c r="BY88" s="1013"/>
      <c r="BZ88" s="226"/>
      <c r="CA88" s="227"/>
      <c r="CB88" s="226"/>
      <c r="CC88" s="171"/>
      <c r="CD88" s="217"/>
      <c r="CE88" s="217"/>
      <c r="CF88" s="239"/>
      <c r="CG88" s="238"/>
      <c r="CH88" s="223"/>
      <c r="CI88" s="226"/>
      <c r="CJ88" s="239"/>
      <c r="CK88" s="1013"/>
    </row>
    <row r="89" spans="8:89">
      <c r="H89" s="182"/>
      <c r="I89" s="183"/>
      <c r="J89" s="229"/>
      <c r="K89" s="185"/>
      <c r="L89" s="186"/>
      <c r="M89" s="186"/>
      <c r="N89" s="186"/>
      <c r="O89" s="187"/>
      <c r="P89" s="187"/>
      <c r="Q89" s="187"/>
      <c r="R89" s="187"/>
      <c r="S89" s="187"/>
      <c r="T89" s="189"/>
      <c r="U89" s="1010"/>
      <c r="V89" s="188"/>
      <c r="W89" s="188"/>
      <c r="X89" s="185"/>
      <c r="Y89" s="186"/>
      <c r="Z89" s="186"/>
      <c r="AA89" s="186"/>
      <c r="AB89" s="186"/>
      <c r="AC89" s="230"/>
      <c r="AD89" s="230"/>
      <c r="AE89" s="230"/>
      <c r="AF89" s="199"/>
      <c r="AG89" s="199"/>
      <c r="AH89" s="199"/>
      <c r="AI89" s="1012"/>
      <c r="AJ89" s="189"/>
      <c r="AK89" s="190"/>
      <c r="AL89" s="185"/>
      <c r="AM89" s="186"/>
      <c r="AN89" s="186"/>
      <c r="AO89" s="186"/>
      <c r="AP89" s="199"/>
      <c r="AQ89" s="229"/>
      <c r="AR89" s="198"/>
      <c r="AS89" s="186"/>
      <c r="AT89" s="199"/>
      <c r="AU89" s="1012"/>
      <c r="AV89" s="23"/>
      <c r="AW89" s="23"/>
      <c r="AX89" s="23"/>
      <c r="AY89" s="231"/>
      <c r="AZ89" s="229"/>
      <c r="BA89" s="229"/>
      <c r="BB89" s="219"/>
      <c r="BC89" s="219"/>
      <c r="BD89" s="186"/>
      <c r="BE89" s="232"/>
      <c r="BF89" s="220"/>
      <c r="BG89" s="220"/>
      <c r="BH89" s="220"/>
      <c r="BI89" s="220"/>
      <c r="BJ89" s="220"/>
      <c r="BK89" s="1010"/>
      <c r="BL89" s="232"/>
      <c r="BM89" s="232"/>
      <c r="BN89" s="219"/>
      <c r="BO89" s="220"/>
      <c r="BP89" s="220"/>
      <c r="BQ89" s="220"/>
      <c r="BR89" s="220"/>
      <c r="BS89" s="220"/>
      <c r="BT89" s="220"/>
      <c r="BU89" s="220"/>
      <c r="BV89" s="220"/>
      <c r="BW89" s="220"/>
      <c r="BX89" s="233"/>
      <c r="BY89" s="1012"/>
      <c r="BZ89" s="220"/>
      <c r="CA89" s="221"/>
      <c r="CB89" s="220"/>
      <c r="CC89" s="234"/>
      <c r="CD89" s="234"/>
      <c r="CE89" s="234"/>
      <c r="CF89" s="233"/>
      <c r="CG89" s="232"/>
      <c r="CH89" s="220"/>
      <c r="CI89" s="220"/>
      <c r="CJ89" s="233"/>
      <c r="CK89" s="1012"/>
    </row>
    <row r="90" spans="8:89">
      <c r="H90" s="182"/>
      <c r="I90" s="200"/>
      <c r="J90" s="235"/>
      <c r="K90" s="201"/>
      <c r="L90" s="171"/>
      <c r="M90" s="171"/>
      <c r="N90" s="171"/>
      <c r="O90" s="202"/>
      <c r="P90" s="202"/>
      <c r="Q90" s="202"/>
      <c r="R90" s="202"/>
      <c r="S90" s="202"/>
      <c r="T90" s="204"/>
      <c r="U90" s="1011"/>
      <c r="V90" s="203"/>
      <c r="W90" s="203"/>
      <c r="X90" s="201"/>
      <c r="Y90" s="171"/>
      <c r="Z90" s="171"/>
      <c r="AA90" s="171"/>
      <c r="AB90" s="171"/>
      <c r="AC90" s="236"/>
      <c r="AD90" s="236"/>
      <c r="AE90" s="236"/>
      <c r="AF90" s="206"/>
      <c r="AG90" s="206"/>
      <c r="AH90" s="206"/>
      <c r="AI90" s="1013"/>
      <c r="AJ90" s="204"/>
      <c r="AK90" s="205"/>
      <c r="AL90" s="201"/>
      <c r="AM90" s="171"/>
      <c r="AN90" s="171"/>
      <c r="AO90" s="171"/>
      <c r="AP90" s="206"/>
      <c r="AQ90" s="235"/>
      <c r="AR90" s="170"/>
      <c r="AS90" s="171"/>
      <c r="AT90" s="206"/>
      <c r="AU90" s="1013"/>
      <c r="AV90" s="23"/>
      <c r="AW90" s="23"/>
      <c r="AX90" s="23"/>
      <c r="AY90" s="237"/>
      <c r="AZ90" s="235"/>
      <c r="BA90" s="235"/>
      <c r="BB90" s="225"/>
      <c r="BC90" s="225"/>
      <c r="BD90" s="171"/>
      <c r="BE90" s="238"/>
      <c r="BF90" s="226"/>
      <c r="BG90" s="226"/>
      <c r="BH90" s="226"/>
      <c r="BI90" s="226"/>
      <c r="BJ90" s="226"/>
      <c r="BK90" s="1011"/>
      <c r="BL90" s="238"/>
      <c r="BM90" s="238"/>
      <c r="BN90" s="225"/>
      <c r="BO90" s="226"/>
      <c r="BP90" s="226"/>
      <c r="BQ90" s="226"/>
      <c r="BR90" s="226"/>
      <c r="BS90" s="238"/>
      <c r="BT90" s="238"/>
      <c r="BU90" s="226"/>
      <c r="BV90" s="238"/>
      <c r="BW90" s="238"/>
      <c r="BX90" s="239"/>
      <c r="BY90" s="1013"/>
      <c r="BZ90" s="226"/>
      <c r="CA90" s="227"/>
      <c r="CB90" s="226"/>
      <c r="CC90" s="171"/>
      <c r="CD90" s="217"/>
      <c r="CE90" s="217"/>
      <c r="CF90" s="239"/>
      <c r="CG90" s="238"/>
      <c r="CH90" s="226"/>
      <c r="CI90" s="226"/>
      <c r="CJ90" s="239"/>
      <c r="CK90" s="1013"/>
    </row>
    <row r="91" spans="8:89">
      <c r="H91" s="182"/>
      <c r="I91" s="183"/>
      <c r="J91" s="229"/>
      <c r="K91" s="185"/>
      <c r="L91" s="186"/>
      <c r="M91" s="186"/>
      <c r="N91" s="186"/>
      <c r="O91" s="187"/>
      <c r="P91" s="187"/>
      <c r="Q91" s="187"/>
      <c r="R91" s="187"/>
      <c r="S91" s="187"/>
      <c r="T91" s="189"/>
      <c r="U91" s="1010"/>
      <c r="V91" s="188"/>
      <c r="W91" s="188"/>
      <c r="X91" s="185"/>
      <c r="Y91" s="186"/>
      <c r="Z91" s="186"/>
      <c r="AA91" s="186"/>
      <c r="AB91" s="186"/>
      <c r="AC91" s="230"/>
      <c r="AD91" s="230"/>
      <c r="AE91" s="230"/>
      <c r="AF91" s="199"/>
      <c r="AG91" s="199"/>
      <c r="AH91" s="199"/>
      <c r="AI91" s="1012"/>
      <c r="AJ91" s="189"/>
      <c r="AK91" s="190"/>
      <c r="AL91" s="185"/>
      <c r="AM91" s="186"/>
      <c r="AN91" s="186"/>
      <c r="AO91" s="186"/>
      <c r="AP91" s="199"/>
      <c r="AQ91" s="229"/>
      <c r="AR91" s="198"/>
      <c r="AS91" s="186"/>
      <c r="AT91" s="199"/>
      <c r="AU91" s="1012"/>
      <c r="AV91" s="23"/>
      <c r="AW91" s="23"/>
      <c r="AX91" s="23"/>
      <c r="AY91" s="231"/>
      <c r="AZ91" s="229"/>
      <c r="BA91" s="229"/>
      <c r="BB91" s="219"/>
      <c r="BC91" s="219"/>
      <c r="BD91" s="186"/>
      <c r="BE91" s="232"/>
      <c r="BF91" s="220"/>
      <c r="BG91" s="220"/>
      <c r="BH91" s="220"/>
      <c r="BI91" s="220"/>
      <c r="BJ91" s="220"/>
      <c r="BK91" s="1010"/>
      <c r="BL91" s="232"/>
      <c r="BM91" s="232"/>
      <c r="BN91" s="219"/>
      <c r="BO91" s="220"/>
      <c r="BP91" s="220"/>
      <c r="BQ91" s="220"/>
      <c r="BR91" s="220"/>
      <c r="BS91" s="220"/>
      <c r="BT91" s="220"/>
      <c r="BU91" s="220"/>
      <c r="BV91" s="220"/>
      <c r="BW91" s="220"/>
      <c r="BX91" s="233"/>
      <c r="BY91" s="1012"/>
      <c r="BZ91" s="220"/>
      <c r="CA91" s="221"/>
      <c r="CB91" s="220"/>
      <c r="CC91" s="234"/>
      <c r="CD91" s="234"/>
      <c r="CE91" s="234"/>
      <c r="CF91" s="233"/>
      <c r="CG91" s="232"/>
      <c r="CH91" s="220"/>
      <c r="CI91" s="220"/>
      <c r="CJ91" s="233"/>
      <c r="CK91" s="1012"/>
    </row>
    <row r="92" spans="8:89">
      <c r="H92" s="182"/>
      <c r="I92" s="200"/>
      <c r="J92" s="235"/>
      <c r="K92" s="201"/>
      <c r="L92" s="171"/>
      <c r="M92" s="171"/>
      <c r="N92" s="171"/>
      <c r="O92" s="202"/>
      <c r="P92" s="202"/>
      <c r="Q92" s="202"/>
      <c r="R92" s="202"/>
      <c r="S92" s="202"/>
      <c r="T92" s="204"/>
      <c r="U92" s="1011"/>
      <c r="V92" s="203"/>
      <c r="W92" s="203"/>
      <c r="X92" s="201"/>
      <c r="Y92" s="171"/>
      <c r="Z92" s="171"/>
      <c r="AA92" s="171"/>
      <c r="AB92" s="171"/>
      <c r="AC92" s="236"/>
      <c r="AD92" s="236"/>
      <c r="AE92" s="236"/>
      <c r="AF92" s="206"/>
      <c r="AG92" s="206"/>
      <c r="AH92" s="206"/>
      <c r="AI92" s="1013"/>
      <c r="AJ92" s="204"/>
      <c r="AK92" s="205"/>
      <c r="AL92" s="201"/>
      <c r="AM92" s="171"/>
      <c r="AN92" s="171"/>
      <c r="AO92" s="171"/>
      <c r="AP92" s="206"/>
      <c r="AQ92" s="235"/>
      <c r="AR92" s="170"/>
      <c r="AS92" s="171"/>
      <c r="AT92" s="206"/>
      <c r="AU92" s="1013"/>
      <c r="AV92" s="23"/>
      <c r="AW92" s="23"/>
      <c r="AX92" s="23"/>
      <c r="AY92" s="237"/>
      <c r="AZ92" s="235"/>
      <c r="BA92" s="235"/>
      <c r="BB92" s="225"/>
      <c r="BC92" s="225"/>
      <c r="BD92" s="171"/>
      <c r="BE92" s="238"/>
      <c r="BF92" s="226"/>
      <c r="BG92" s="226"/>
      <c r="BH92" s="226"/>
      <c r="BI92" s="226"/>
      <c r="BJ92" s="226"/>
      <c r="BK92" s="1011"/>
      <c r="BL92" s="238"/>
      <c r="BM92" s="238"/>
      <c r="BN92" s="225"/>
      <c r="BO92" s="226"/>
      <c r="BP92" s="226"/>
      <c r="BQ92" s="226"/>
      <c r="BR92" s="226"/>
      <c r="BS92" s="238"/>
      <c r="BT92" s="238"/>
      <c r="BU92" s="226"/>
      <c r="BV92" s="238"/>
      <c r="BW92" s="238"/>
      <c r="BX92" s="239"/>
      <c r="BY92" s="1013"/>
      <c r="BZ92" s="226"/>
      <c r="CA92" s="227"/>
      <c r="CB92" s="226"/>
      <c r="CC92" s="171"/>
      <c r="CD92" s="217"/>
      <c r="CE92" s="217"/>
      <c r="CF92" s="239"/>
      <c r="CG92" s="238"/>
      <c r="CH92" s="223"/>
      <c r="CI92" s="226"/>
      <c r="CJ92" s="239"/>
      <c r="CK92" s="1013"/>
    </row>
    <row r="93" spans="8:89">
      <c r="H93" s="182"/>
      <c r="I93" s="183"/>
      <c r="J93" s="229"/>
      <c r="K93" s="185"/>
      <c r="L93" s="186"/>
      <c r="M93" s="186"/>
      <c r="N93" s="186"/>
      <c r="O93" s="187"/>
      <c r="P93" s="187"/>
      <c r="Q93" s="187"/>
      <c r="R93" s="187"/>
      <c r="S93" s="187"/>
      <c r="T93" s="189"/>
      <c r="U93" s="1010"/>
      <c r="V93" s="188"/>
      <c r="W93" s="188"/>
      <c r="X93" s="185"/>
      <c r="Y93" s="186"/>
      <c r="Z93" s="186"/>
      <c r="AA93" s="186"/>
      <c r="AB93" s="186"/>
      <c r="AC93" s="230"/>
      <c r="AD93" s="230"/>
      <c r="AE93" s="230"/>
      <c r="AF93" s="199"/>
      <c r="AG93" s="199"/>
      <c r="AH93" s="199"/>
      <c r="AI93" s="1012"/>
      <c r="AJ93" s="189"/>
      <c r="AK93" s="190"/>
      <c r="AL93" s="185"/>
      <c r="AM93" s="186"/>
      <c r="AN93" s="186"/>
      <c r="AO93" s="186"/>
      <c r="AP93" s="199"/>
      <c r="AQ93" s="229"/>
      <c r="AR93" s="198"/>
      <c r="AS93" s="186"/>
      <c r="AT93" s="199"/>
      <c r="AU93" s="1012"/>
      <c r="AV93" s="23"/>
      <c r="AW93" s="23"/>
      <c r="AX93" s="23"/>
      <c r="AY93" s="231"/>
      <c r="AZ93" s="229"/>
      <c r="BA93" s="229"/>
      <c r="BB93" s="219"/>
      <c r="BC93" s="219"/>
      <c r="BD93" s="186"/>
      <c r="BE93" s="232"/>
      <c r="BF93" s="220"/>
      <c r="BG93" s="220"/>
      <c r="BH93" s="220"/>
      <c r="BI93" s="220"/>
      <c r="BJ93" s="220"/>
      <c r="BK93" s="1010"/>
      <c r="BL93" s="232"/>
      <c r="BM93" s="232"/>
      <c r="BN93" s="219"/>
      <c r="BO93" s="220"/>
      <c r="BP93" s="220"/>
      <c r="BQ93" s="220"/>
      <c r="BR93" s="220"/>
      <c r="BS93" s="220"/>
      <c r="BT93" s="220"/>
      <c r="BU93" s="220"/>
      <c r="BV93" s="220"/>
      <c r="BW93" s="220"/>
      <c r="BX93" s="233"/>
      <c r="BY93" s="1012"/>
      <c r="BZ93" s="220"/>
      <c r="CA93" s="221"/>
      <c r="CB93" s="220"/>
      <c r="CC93" s="234"/>
      <c r="CD93" s="234"/>
      <c r="CE93" s="234"/>
      <c r="CF93" s="233"/>
      <c r="CG93" s="232"/>
      <c r="CH93" s="220"/>
      <c r="CI93" s="220"/>
      <c r="CJ93" s="233"/>
      <c r="CK93" s="1012"/>
    </row>
    <row r="94" spans="8:89">
      <c r="H94" s="182"/>
      <c r="I94" s="200"/>
      <c r="J94" s="235"/>
      <c r="K94" s="201"/>
      <c r="L94" s="171"/>
      <c r="M94" s="171"/>
      <c r="N94" s="171"/>
      <c r="O94" s="202"/>
      <c r="P94" s="202"/>
      <c r="Q94" s="202"/>
      <c r="R94" s="202"/>
      <c r="S94" s="202"/>
      <c r="T94" s="204"/>
      <c r="U94" s="1011"/>
      <c r="V94" s="203"/>
      <c r="W94" s="203"/>
      <c r="X94" s="201"/>
      <c r="Y94" s="171"/>
      <c r="Z94" s="171"/>
      <c r="AA94" s="171"/>
      <c r="AB94" s="171"/>
      <c r="AC94" s="236"/>
      <c r="AD94" s="236"/>
      <c r="AE94" s="236"/>
      <c r="AF94" s="206"/>
      <c r="AG94" s="206"/>
      <c r="AH94" s="206"/>
      <c r="AI94" s="1013"/>
      <c r="AJ94" s="204"/>
      <c r="AK94" s="205"/>
      <c r="AL94" s="201"/>
      <c r="AM94" s="171"/>
      <c r="AN94" s="171"/>
      <c r="AO94" s="171"/>
      <c r="AP94" s="206"/>
      <c r="AQ94" s="235"/>
      <c r="AR94" s="170"/>
      <c r="AS94" s="171"/>
      <c r="AT94" s="206"/>
      <c r="AU94" s="1013"/>
      <c r="AV94" s="23"/>
      <c r="AW94" s="23"/>
      <c r="AX94" s="23"/>
      <c r="AY94" s="237"/>
      <c r="AZ94" s="235"/>
      <c r="BA94" s="235"/>
      <c r="BB94" s="225"/>
      <c r="BC94" s="225"/>
      <c r="BD94" s="171"/>
      <c r="BE94" s="238"/>
      <c r="BF94" s="226"/>
      <c r="BG94" s="226"/>
      <c r="BH94" s="226"/>
      <c r="BI94" s="226"/>
      <c r="BJ94" s="226"/>
      <c r="BK94" s="1011"/>
      <c r="BL94" s="238"/>
      <c r="BM94" s="238"/>
      <c r="BN94" s="225"/>
      <c r="BO94" s="226"/>
      <c r="BP94" s="226"/>
      <c r="BQ94" s="226"/>
      <c r="BR94" s="226"/>
      <c r="BS94" s="238"/>
      <c r="BT94" s="238"/>
      <c r="BU94" s="226"/>
      <c r="BV94" s="238"/>
      <c r="BW94" s="238"/>
      <c r="BX94" s="239"/>
      <c r="BY94" s="1013"/>
      <c r="BZ94" s="226"/>
      <c r="CA94" s="227"/>
      <c r="CB94" s="226"/>
      <c r="CC94" s="171"/>
      <c r="CD94" s="217"/>
      <c r="CE94" s="217"/>
      <c r="CF94" s="239"/>
      <c r="CG94" s="238"/>
      <c r="CH94" s="226"/>
      <c r="CI94" s="226"/>
      <c r="CJ94" s="239"/>
      <c r="CK94" s="1013"/>
    </row>
    <row r="95" spans="8:89">
      <c r="H95" s="182"/>
      <c r="I95" s="183"/>
      <c r="J95" s="229"/>
      <c r="K95" s="185"/>
      <c r="L95" s="186"/>
      <c r="M95" s="186"/>
      <c r="N95" s="186"/>
      <c r="O95" s="187"/>
      <c r="P95" s="187"/>
      <c r="Q95" s="187"/>
      <c r="R95" s="187"/>
      <c r="S95" s="187"/>
      <c r="T95" s="189"/>
      <c r="U95" s="1010"/>
      <c r="V95" s="188"/>
      <c r="W95" s="188"/>
      <c r="X95" s="185"/>
      <c r="Y95" s="186"/>
      <c r="Z95" s="186"/>
      <c r="AA95" s="186"/>
      <c r="AB95" s="186"/>
      <c r="AC95" s="230"/>
      <c r="AD95" s="230"/>
      <c r="AE95" s="230"/>
      <c r="AF95" s="199"/>
      <c r="AG95" s="199"/>
      <c r="AH95" s="199"/>
      <c r="AI95" s="1012"/>
      <c r="AJ95" s="189"/>
      <c r="AK95" s="190"/>
      <c r="AL95" s="185"/>
      <c r="AM95" s="186"/>
      <c r="AN95" s="186"/>
      <c r="AO95" s="186"/>
      <c r="AP95" s="199"/>
      <c r="AQ95" s="229"/>
      <c r="AR95" s="198"/>
      <c r="AS95" s="186"/>
      <c r="AT95" s="199"/>
      <c r="AU95" s="1012"/>
      <c r="AV95" s="23"/>
      <c r="AW95" s="23"/>
      <c r="AX95" s="23"/>
      <c r="AY95" s="231"/>
      <c r="AZ95" s="229"/>
      <c r="BA95" s="229"/>
      <c r="BB95" s="219"/>
      <c r="BC95" s="219"/>
      <c r="BD95" s="186"/>
      <c r="BE95" s="232"/>
      <c r="BF95" s="220"/>
      <c r="BG95" s="220"/>
      <c r="BH95" s="220"/>
      <c r="BI95" s="220"/>
      <c r="BJ95" s="220"/>
      <c r="BK95" s="1010"/>
      <c r="BL95" s="232"/>
      <c r="BM95" s="232"/>
      <c r="BN95" s="219"/>
      <c r="BO95" s="220"/>
      <c r="BP95" s="220"/>
      <c r="BQ95" s="220"/>
      <c r="BR95" s="220"/>
      <c r="BS95" s="220"/>
      <c r="BT95" s="220"/>
      <c r="BU95" s="220"/>
      <c r="BV95" s="220"/>
      <c r="BW95" s="220"/>
      <c r="BX95" s="233"/>
      <c r="BY95" s="1012"/>
      <c r="BZ95" s="220"/>
      <c r="CA95" s="221"/>
      <c r="CB95" s="220"/>
      <c r="CC95" s="234"/>
      <c r="CD95" s="234"/>
      <c r="CE95" s="234"/>
      <c r="CF95" s="233"/>
      <c r="CG95" s="232"/>
      <c r="CH95" s="220"/>
      <c r="CI95" s="220"/>
      <c r="CJ95" s="233"/>
      <c r="CK95" s="1012"/>
    </row>
    <row r="96" spans="8:89">
      <c r="H96" s="182"/>
      <c r="I96" s="200"/>
      <c r="J96" s="235"/>
      <c r="K96" s="201"/>
      <c r="L96" s="171"/>
      <c r="M96" s="171"/>
      <c r="N96" s="171"/>
      <c r="O96" s="202"/>
      <c r="P96" s="202"/>
      <c r="Q96" s="202"/>
      <c r="R96" s="202"/>
      <c r="S96" s="202"/>
      <c r="T96" s="204"/>
      <c r="U96" s="1011"/>
      <c r="V96" s="203"/>
      <c r="W96" s="203"/>
      <c r="X96" s="201"/>
      <c r="Y96" s="171"/>
      <c r="Z96" s="171"/>
      <c r="AA96" s="171"/>
      <c r="AB96" s="171"/>
      <c r="AC96" s="236"/>
      <c r="AD96" s="236"/>
      <c r="AE96" s="236"/>
      <c r="AF96" s="206"/>
      <c r="AG96" s="206"/>
      <c r="AH96" s="206"/>
      <c r="AI96" s="1013"/>
      <c r="AJ96" s="204"/>
      <c r="AK96" s="205"/>
      <c r="AL96" s="201"/>
      <c r="AM96" s="171"/>
      <c r="AN96" s="171"/>
      <c r="AO96" s="171"/>
      <c r="AP96" s="206"/>
      <c r="AQ96" s="235"/>
      <c r="AR96" s="170"/>
      <c r="AS96" s="171"/>
      <c r="AT96" s="206"/>
      <c r="AU96" s="1013"/>
      <c r="AV96" s="23"/>
      <c r="AW96" s="23"/>
      <c r="AX96" s="23"/>
      <c r="AY96" s="237"/>
      <c r="AZ96" s="235"/>
      <c r="BA96" s="235"/>
      <c r="BB96" s="225"/>
      <c r="BC96" s="225"/>
      <c r="BD96" s="171"/>
      <c r="BE96" s="238"/>
      <c r="BF96" s="226"/>
      <c r="BG96" s="226"/>
      <c r="BH96" s="226"/>
      <c r="BI96" s="226"/>
      <c r="BJ96" s="226"/>
      <c r="BK96" s="1011"/>
      <c r="BL96" s="238"/>
      <c r="BM96" s="238"/>
      <c r="BN96" s="225"/>
      <c r="BO96" s="226"/>
      <c r="BP96" s="226"/>
      <c r="BQ96" s="226"/>
      <c r="BR96" s="226"/>
      <c r="BS96" s="238"/>
      <c r="BT96" s="238"/>
      <c r="BU96" s="226"/>
      <c r="BV96" s="238"/>
      <c r="BW96" s="238"/>
      <c r="BX96" s="239"/>
      <c r="BY96" s="1013"/>
      <c r="BZ96" s="226"/>
      <c r="CA96" s="227"/>
      <c r="CB96" s="226"/>
      <c r="CC96" s="171"/>
      <c r="CD96" s="217"/>
      <c r="CE96" s="217"/>
      <c r="CF96" s="239"/>
      <c r="CG96" s="238"/>
      <c r="CH96" s="223"/>
      <c r="CI96" s="226"/>
      <c r="CJ96" s="239"/>
      <c r="CK96" s="1013"/>
    </row>
    <row r="97" spans="8:89">
      <c r="H97" s="182"/>
      <c r="I97" s="183"/>
      <c r="J97" s="229"/>
      <c r="K97" s="185"/>
      <c r="L97" s="186"/>
      <c r="M97" s="186"/>
      <c r="N97" s="186"/>
      <c r="O97" s="187"/>
      <c r="P97" s="187"/>
      <c r="Q97" s="187"/>
      <c r="R97" s="187"/>
      <c r="S97" s="187"/>
      <c r="T97" s="189"/>
      <c r="U97" s="1010"/>
      <c r="V97" s="188"/>
      <c r="W97" s="188"/>
      <c r="X97" s="185"/>
      <c r="Y97" s="186"/>
      <c r="Z97" s="186"/>
      <c r="AA97" s="186"/>
      <c r="AB97" s="186"/>
      <c r="AC97" s="230"/>
      <c r="AD97" s="230"/>
      <c r="AE97" s="230"/>
      <c r="AF97" s="199"/>
      <c r="AG97" s="199"/>
      <c r="AH97" s="199"/>
      <c r="AI97" s="1012"/>
      <c r="AJ97" s="189"/>
      <c r="AK97" s="190"/>
      <c r="AL97" s="185"/>
      <c r="AM97" s="186"/>
      <c r="AN97" s="186"/>
      <c r="AO97" s="186"/>
      <c r="AP97" s="199"/>
      <c r="AQ97" s="229"/>
      <c r="AR97" s="198"/>
      <c r="AS97" s="186"/>
      <c r="AT97" s="199"/>
      <c r="AU97" s="1012"/>
      <c r="AV97" s="23"/>
      <c r="AW97" s="23"/>
      <c r="AX97" s="23"/>
      <c r="AY97" s="231"/>
      <c r="AZ97" s="229"/>
      <c r="BA97" s="229"/>
      <c r="BB97" s="219"/>
      <c r="BC97" s="219"/>
      <c r="BD97" s="186"/>
      <c r="BE97" s="232"/>
      <c r="BF97" s="220"/>
      <c r="BG97" s="220"/>
      <c r="BH97" s="220"/>
      <c r="BI97" s="220"/>
      <c r="BJ97" s="220"/>
      <c r="BK97" s="1010"/>
      <c r="BL97" s="232"/>
      <c r="BM97" s="232"/>
      <c r="BN97" s="219"/>
      <c r="BO97" s="220"/>
      <c r="BP97" s="220"/>
      <c r="BQ97" s="220"/>
      <c r="BR97" s="220"/>
      <c r="BS97" s="220"/>
      <c r="BT97" s="220"/>
      <c r="BU97" s="220"/>
      <c r="BV97" s="220"/>
      <c r="BW97" s="220"/>
      <c r="BX97" s="233"/>
      <c r="BY97" s="1012"/>
      <c r="BZ97" s="220"/>
      <c r="CA97" s="221"/>
      <c r="CB97" s="220"/>
      <c r="CC97" s="234"/>
      <c r="CD97" s="234"/>
      <c r="CE97" s="234"/>
      <c r="CF97" s="233"/>
      <c r="CG97" s="232"/>
      <c r="CH97" s="220"/>
      <c r="CI97" s="220"/>
      <c r="CJ97" s="233"/>
      <c r="CK97" s="1012"/>
    </row>
    <row r="98" spans="8:89">
      <c r="H98" s="182"/>
      <c r="I98" s="200"/>
      <c r="J98" s="235"/>
      <c r="K98" s="201"/>
      <c r="L98" s="171"/>
      <c r="M98" s="171"/>
      <c r="N98" s="171"/>
      <c r="O98" s="202"/>
      <c r="P98" s="202"/>
      <c r="Q98" s="202"/>
      <c r="R98" s="202"/>
      <c r="S98" s="202"/>
      <c r="T98" s="204"/>
      <c r="U98" s="1011"/>
      <c r="V98" s="203"/>
      <c r="W98" s="203"/>
      <c r="X98" s="201"/>
      <c r="Y98" s="171"/>
      <c r="Z98" s="171"/>
      <c r="AA98" s="171"/>
      <c r="AB98" s="171"/>
      <c r="AC98" s="236"/>
      <c r="AD98" s="236"/>
      <c r="AE98" s="236"/>
      <c r="AF98" s="206"/>
      <c r="AG98" s="206"/>
      <c r="AH98" s="206"/>
      <c r="AI98" s="1013"/>
      <c r="AJ98" s="204"/>
      <c r="AK98" s="205"/>
      <c r="AL98" s="201"/>
      <c r="AM98" s="171"/>
      <c r="AN98" s="171"/>
      <c r="AO98" s="171"/>
      <c r="AP98" s="206"/>
      <c r="AQ98" s="235"/>
      <c r="AR98" s="170"/>
      <c r="AS98" s="171"/>
      <c r="AT98" s="206"/>
      <c r="AU98" s="1013"/>
      <c r="AV98" s="23"/>
      <c r="AW98" s="23"/>
      <c r="AX98" s="23"/>
      <c r="AY98" s="237"/>
      <c r="AZ98" s="235"/>
      <c r="BA98" s="235"/>
      <c r="BB98" s="225"/>
      <c r="BC98" s="225"/>
      <c r="BD98" s="171"/>
      <c r="BE98" s="238"/>
      <c r="BF98" s="226"/>
      <c r="BG98" s="226"/>
      <c r="BH98" s="226"/>
      <c r="BI98" s="226"/>
      <c r="BJ98" s="226"/>
      <c r="BK98" s="1011"/>
      <c r="BL98" s="238"/>
      <c r="BM98" s="238"/>
      <c r="BN98" s="225"/>
      <c r="BO98" s="226"/>
      <c r="BP98" s="226"/>
      <c r="BQ98" s="226"/>
      <c r="BR98" s="226"/>
      <c r="BS98" s="238"/>
      <c r="BT98" s="238"/>
      <c r="BU98" s="226"/>
      <c r="BV98" s="238"/>
      <c r="BW98" s="238"/>
      <c r="BX98" s="239"/>
      <c r="BY98" s="1013"/>
      <c r="BZ98" s="226"/>
      <c r="CA98" s="227"/>
      <c r="CB98" s="226"/>
      <c r="CC98" s="171"/>
      <c r="CD98" s="217"/>
      <c r="CE98" s="217"/>
      <c r="CF98" s="239"/>
      <c r="CG98" s="238"/>
      <c r="CH98" s="226"/>
      <c r="CI98" s="226"/>
      <c r="CJ98" s="239"/>
      <c r="CK98" s="1013"/>
    </row>
    <row r="99" spans="8:89">
      <c r="H99" s="182"/>
      <c r="I99" s="183"/>
      <c r="J99" s="229"/>
      <c r="K99" s="185"/>
      <c r="L99" s="186"/>
      <c r="M99" s="186"/>
      <c r="N99" s="186"/>
      <c r="O99" s="187"/>
      <c r="P99" s="187"/>
      <c r="Q99" s="187"/>
      <c r="R99" s="187"/>
      <c r="S99" s="187"/>
      <c r="T99" s="189"/>
      <c r="U99" s="1010"/>
      <c r="V99" s="188"/>
      <c r="W99" s="188"/>
      <c r="X99" s="185"/>
      <c r="Y99" s="186"/>
      <c r="Z99" s="186"/>
      <c r="AA99" s="186"/>
      <c r="AB99" s="186"/>
      <c r="AC99" s="230"/>
      <c r="AD99" s="230"/>
      <c r="AE99" s="230"/>
      <c r="AF99" s="199"/>
      <c r="AG99" s="199"/>
      <c r="AH99" s="199"/>
      <c r="AI99" s="1012"/>
      <c r="AJ99" s="189"/>
      <c r="AK99" s="190"/>
      <c r="AL99" s="185"/>
      <c r="AM99" s="186"/>
      <c r="AN99" s="186"/>
      <c r="AO99" s="186"/>
      <c r="AP99" s="199"/>
      <c r="AQ99" s="229"/>
      <c r="AR99" s="198"/>
      <c r="AS99" s="186"/>
      <c r="AT99" s="199"/>
      <c r="AU99" s="1012"/>
      <c r="AV99" s="23"/>
      <c r="AW99" s="23"/>
      <c r="AX99" s="23"/>
      <c r="AY99" s="231"/>
      <c r="AZ99" s="229"/>
      <c r="BA99" s="229"/>
      <c r="BB99" s="219"/>
      <c r="BC99" s="219"/>
      <c r="BD99" s="186"/>
      <c r="BE99" s="232"/>
      <c r="BF99" s="220"/>
      <c r="BG99" s="220"/>
      <c r="BH99" s="220"/>
      <c r="BI99" s="220"/>
      <c r="BJ99" s="220"/>
      <c r="BK99" s="1010"/>
      <c r="BL99" s="232"/>
      <c r="BM99" s="232"/>
      <c r="BN99" s="219"/>
      <c r="BO99" s="220"/>
      <c r="BP99" s="220"/>
      <c r="BQ99" s="220"/>
      <c r="BR99" s="220"/>
      <c r="BS99" s="220"/>
      <c r="BT99" s="220"/>
      <c r="BU99" s="220"/>
      <c r="BV99" s="220"/>
      <c r="BW99" s="220"/>
      <c r="BX99" s="233"/>
      <c r="BY99" s="1012"/>
      <c r="BZ99" s="220"/>
      <c r="CA99" s="221"/>
      <c r="CB99" s="220"/>
      <c r="CC99" s="234"/>
      <c r="CD99" s="234"/>
      <c r="CE99" s="234"/>
      <c r="CF99" s="233"/>
      <c r="CG99" s="232"/>
      <c r="CH99" s="220"/>
      <c r="CI99" s="220"/>
      <c r="CJ99" s="233"/>
      <c r="CK99" s="1012"/>
    </row>
    <row r="100" spans="8:89">
      <c r="H100" s="182"/>
      <c r="I100" s="200"/>
      <c r="J100" s="235"/>
      <c r="K100" s="201"/>
      <c r="L100" s="171"/>
      <c r="M100" s="171"/>
      <c r="N100" s="171"/>
      <c r="O100" s="202"/>
      <c r="P100" s="202"/>
      <c r="Q100" s="202"/>
      <c r="R100" s="202"/>
      <c r="S100" s="202"/>
      <c r="T100" s="204"/>
      <c r="U100" s="1011"/>
      <c r="V100" s="203"/>
      <c r="W100" s="203"/>
      <c r="X100" s="201"/>
      <c r="Y100" s="171"/>
      <c r="Z100" s="171"/>
      <c r="AA100" s="171"/>
      <c r="AB100" s="171"/>
      <c r="AC100" s="236"/>
      <c r="AD100" s="236"/>
      <c r="AE100" s="236"/>
      <c r="AF100" s="206"/>
      <c r="AG100" s="206"/>
      <c r="AH100" s="206"/>
      <c r="AI100" s="1013"/>
      <c r="AJ100" s="204"/>
      <c r="AK100" s="205"/>
      <c r="AL100" s="201"/>
      <c r="AM100" s="171"/>
      <c r="AN100" s="171"/>
      <c r="AO100" s="171"/>
      <c r="AP100" s="206"/>
      <c r="AQ100" s="235"/>
      <c r="AR100" s="170"/>
      <c r="AS100" s="171"/>
      <c r="AT100" s="206"/>
      <c r="AU100" s="1013"/>
      <c r="AV100" s="23"/>
      <c r="AW100" s="23"/>
      <c r="AX100" s="23"/>
      <c r="AY100" s="237"/>
      <c r="AZ100" s="235"/>
      <c r="BA100" s="235"/>
      <c r="BB100" s="225"/>
      <c r="BC100" s="225"/>
      <c r="BD100" s="171"/>
      <c r="BE100" s="238"/>
      <c r="BF100" s="226"/>
      <c r="BG100" s="226"/>
      <c r="BH100" s="226"/>
      <c r="BI100" s="226"/>
      <c r="BJ100" s="226"/>
      <c r="BK100" s="1011"/>
      <c r="BL100" s="238"/>
      <c r="BM100" s="238"/>
      <c r="BN100" s="225"/>
      <c r="BO100" s="226"/>
      <c r="BP100" s="226"/>
      <c r="BQ100" s="226"/>
      <c r="BR100" s="226"/>
      <c r="BS100" s="238"/>
      <c r="BT100" s="238"/>
      <c r="BU100" s="226"/>
      <c r="BV100" s="238"/>
      <c r="BW100" s="238"/>
      <c r="BX100" s="239"/>
      <c r="BY100" s="1013"/>
      <c r="BZ100" s="226"/>
      <c r="CA100" s="227"/>
      <c r="CB100" s="226"/>
      <c r="CC100" s="171"/>
      <c r="CD100" s="217"/>
      <c r="CE100" s="217"/>
      <c r="CF100" s="239"/>
      <c r="CG100" s="238"/>
      <c r="CH100" s="226"/>
      <c r="CI100" s="226"/>
      <c r="CJ100" s="239"/>
      <c r="CK100" s="1013"/>
    </row>
    <row r="101" spans="8:89">
      <c r="H101" s="182"/>
      <c r="I101" s="183"/>
      <c r="J101" s="229"/>
      <c r="K101" s="185"/>
      <c r="L101" s="186"/>
      <c r="M101" s="186"/>
      <c r="N101" s="186"/>
      <c r="O101" s="187"/>
      <c r="P101" s="187"/>
      <c r="Q101" s="187"/>
      <c r="R101" s="187"/>
      <c r="S101" s="187"/>
      <c r="T101" s="189"/>
      <c r="U101" s="1010"/>
      <c r="V101" s="188"/>
      <c r="W101" s="188"/>
      <c r="X101" s="185"/>
      <c r="Y101" s="186"/>
      <c r="Z101" s="186"/>
      <c r="AA101" s="186"/>
      <c r="AB101" s="186"/>
      <c r="AC101" s="230"/>
      <c r="AD101" s="230"/>
      <c r="AE101" s="230"/>
      <c r="AF101" s="199"/>
      <c r="AG101" s="199"/>
      <c r="AH101" s="199"/>
      <c r="AI101" s="1012"/>
      <c r="AJ101" s="189"/>
      <c r="AK101" s="190"/>
      <c r="AL101" s="185"/>
      <c r="AM101" s="186"/>
      <c r="AN101" s="186"/>
      <c r="AO101" s="186"/>
      <c r="AP101" s="199"/>
      <c r="AQ101" s="229"/>
      <c r="AR101" s="198"/>
      <c r="AS101" s="186"/>
      <c r="AT101" s="199"/>
      <c r="AU101" s="1012"/>
      <c r="AV101" s="23"/>
      <c r="AW101" s="23"/>
      <c r="AX101" s="23"/>
      <c r="AY101" s="231"/>
      <c r="AZ101" s="229"/>
      <c r="BA101" s="229"/>
      <c r="BB101" s="219"/>
      <c r="BC101" s="219"/>
      <c r="BD101" s="186"/>
      <c r="BE101" s="232"/>
      <c r="BF101" s="220"/>
      <c r="BG101" s="220"/>
      <c r="BH101" s="220"/>
      <c r="BI101" s="220"/>
      <c r="BJ101" s="220"/>
      <c r="BK101" s="1010"/>
      <c r="BL101" s="232"/>
      <c r="BM101" s="232"/>
      <c r="BN101" s="219"/>
      <c r="BO101" s="220"/>
      <c r="BP101" s="220"/>
      <c r="BQ101" s="220"/>
      <c r="BR101" s="220"/>
      <c r="BS101" s="220"/>
      <c r="BT101" s="220"/>
      <c r="BU101" s="220"/>
      <c r="BV101" s="220"/>
      <c r="BW101" s="220"/>
      <c r="BX101" s="233"/>
      <c r="BY101" s="1012"/>
      <c r="BZ101" s="220"/>
      <c r="CA101" s="221"/>
      <c r="CB101" s="220"/>
      <c r="CC101" s="234"/>
      <c r="CD101" s="234"/>
      <c r="CE101" s="234"/>
      <c r="CF101" s="233"/>
      <c r="CG101" s="232"/>
      <c r="CH101" s="220"/>
      <c r="CI101" s="220"/>
      <c r="CJ101" s="233"/>
      <c r="CK101" s="1012"/>
    </row>
    <row r="102" spans="8:89">
      <c r="H102" s="182"/>
      <c r="I102" s="200"/>
      <c r="J102" s="235"/>
      <c r="K102" s="201"/>
      <c r="L102" s="171"/>
      <c r="M102" s="171"/>
      <c r="N102" s="171"/>
      <c r="O102" s="202"/>
      <c r="P102" s="202"/>
      <c r="Q102" s="202"/>
      <c r="R102" s="202"/>
      <c r="S102" s="202"/>
      <c r="T102" s="204"/>
      <c r="U102" s="1011"/>
      <c r="V102" s="203"/>
      <c r="W102" s="203"/>
      <c r="X102" s="201"/>
      <c r="Y102" s="171"/>
      <c r="Z102" s="171"/>
      <c r="AA102" s="171"/>
      <c r="AB102" s="171"/>
      <c r="AC102" s="236"/>
      <c r="AD102" s="236"/>
      <c r="AE102" s="236"/>
      <c r="AF102" s="206"/>
      <c r="AG102" s="206"/>
      <c r="AH102" s="206"/>
      <c r="AI102" s="1013"/>
      <c r="AJ102" s="204"/>
      <c r="AK102" s="205"/>
      <c r="AL102" s="201"/>
      <c r="AM102" s="171"/>
      <c r="AN102" s="171"/>
      <c r="AO102" s="171"/>
      <c r="AP102" s="206"/>
      <c r="AQ102" s="235"/>
      <c r="AR102" s="170"/>
      <c r="AS102" s="171"/>
      <c r="AT102" s="206"/>
      <c r="AU102" s="1013"/>
      <c r="AV102" s="23"/>
      <c r="AW102" s="23"/>
      <c r="AX102" s="23"/>
      <c r="AY102" s="237"/>
      <c r="AZ102" s="235"/>
      <c r="BA102" s="235"/>
      <c r="BB102" s="225"/>
      <c r="BC102" s="225"/>
      <c r="BD102" s="171"/>
      <c r="BE102" s="238"/>
      <c r="BF102" s="226"/>
      <c r="BG102" s="226"/>
      <c r="BH102" s="226"/>
      <c r="BI102" s="226"/>
      <c r="BJ102" s="226"/>
      <c r="BK102" s="1011"/>
      <c r="BL102" s="238"/>
      <c r="BM102" s="238"/>
      <c r="BN102" s="225"/>
      <c r="BO102" s="226"/>
      <c r="BP102" s="226"/>
      <c r="BQ102" s="226"/>
      <c r="BR102" s="226"/>
      <c r="BS102" s="238"/>
      <c r="BT102" s="238"/>
      <c r="BU102" s="226"/>
      <c r="BV102" s="238"/>
      <c r="BW102" s="238"/>
      <c r="BX102" s="239"/>
      <c r="BY102" s="1013"/>
      <c r="BZ102" s="226"/>
      <c r="CA102" s="227"/>
      <c r="CB102" s="226"/>
      <c r="CC102" s="171"/>
      <c r="CD102" s="217"/>
      <c r="CE102" s="217"/>
      <c r="CF102" s="239"/>
      <c r="CG102" s="238"/>
      <c r="CH102" s="223"/>
      <c r="CI102" s="226"/>
      <c r="CJ102" s="239"/>
      <c r="CK102" s="1013"/>
    </row>
    <row r="103" spans="8:89">
      <c r="H103" s="182"/>
      <c r="I103" s="183"/>
      <c r="J103" s="229"/>
      <c r="K103" s="185"/>
      <c r="L103" s="186"/>
      <c r="M103" s="186"/>
      <c r="N103" s="186"/>
      <c r="O103" s="187"/>
      <c r="P103" s="187"/>
      <c r="Q103" s="187"/>
      <c r="R103" s="187"/>
      <c r="S103" s="187"/>
      <c r="T103" s="189"/>
      <c r="U103" s="1010"/>
      <c r="V103" s="188"/>
      <c r="W103" s="188"/>
      <c r="X103" s="185"/>
      <c r="Y103" s="186"/>
      <c r="Z103" s="186"/>
      <c r="AA103" s="186"/>
      <c r="AB103" s="186"/>
      <c r="AC103" s="230"/>
      <c r="AD103" s="230"/>
      <c r="AE103" s="230"/>
      <c r="AF103" s="199"/>
      <c r="AG103" s="199"/>
      <c r="AH103" s="199"/>
      <c r="AI103" s="1012"/>
      <c r="AJ103" s="189"/>
      <c r="AK103" s="190"/>
      <c r="AL103" s="185"/>
      <c r="AM103" s="186"/>
      <c r="AN103" s="186"/>
      <c r="AO103" s="186"/>
      <c r="AP103" s="199"/>
      <c r="AQ103" s="229"/>
      <c r="AR103" s="198"/>
      <c r="AS103" s="186"/>
      <c r="AT103" s="199"/>
      <c r="AU103" s="1012"/>
      <c r="AV103" s="23"/>
      <c r="AW103" s="23"/>
      <c r="AX103" s="23"/>
      <c r="AY103" s="231"/>
      <c r="AZ103" s="229"/>
      <c r="BA103" s="229"/>
      <c r="BB103" s="219"/>
      <c r="BC103" s="219"/>
      <c r="BD103" s="186"/>
      <c r="BE103" s="232"/>
      <c r="BF103" s="220"/>
      <c r="BG103" s="220"/>
      <c r="BH103" s="220"/>
      <c r="BI103" s="220"/>
      <c r="BJ103" s="220"/>
      <c r="BK103" s="1010"/>
      <c r="BL103" s="232"/>
      <c r="BM103" s="232"/>
      <c r="BN103" s="219"/>
      <c r="BO103" s="220"/>
      <c r="BP103" s="220"/>
      <c r="BQ103" s="220"/>
      <c r="BR103" s="220"/>
      <c r="BS103" s="220"/>
      <c r="BT103" s="220"/>
      <c r="BU103" s="220"/>
      <c r="BV103" s="220"/>
      <c r="BW103" s="220"/>
      <c r="BX103" s="233"/>
      <c r="BY103" s="1012"/>
      <c r="BZ103" s="220"/>
      <c r="CA103" s="221"/>
      <c r="CB103" s="220"/>
      <c r="CC103" s="234"/>
      <c r="CD103" s="234"/>
      <c r="CE103" s="234"/>
      <c r="CF103" s="233"/>
      <c r="CG103" s="232"/>
      <c r="CH103" s="220"/>
      <c r="CI103" s="220"/>
      <c r="CJ103" s="233"/>
      <c r="CK103" s="1012"/>
    </row>
    <row r="104" spans="8:89">
      <c r="H104" s="182"/>
      <c r="I104" s="200"/>
      <c r="J104" s="235"/>
      <c r="K104" s="201"/>
      <c r="L104" s="171"/>
      <c r="M104" s="171"/>
      <c r="N104" s="171"/>
      <c r="O104" s="202"/>
      <c r="P104" s="202"/>
      <c r="Q104" s="202"/>
      <c r="R104" s="202"/>
      <c r="S104" s="202"/>
      <c r="T104" s="204"/>
      <c r="U104" s="1011"/>
      <c r="V104" s="203"/>
      <c r="W104" s="203"/>
      <c r="X104" s="201"/>
      <c r="Y104" s="171"/>
      <c r="Z104" s="171"/>
      <c r="AA104" s="171"/>
      <c r="AB104" s="171"/>
      <c r="AC104" s="236"/>
      <c r="AD104" s="236"/>
      <c r="AE104" s="236"/>
      <c r="AF104" s="206"/>
      <c r="AG104" s="206"/>
      <c r="AH104" s="206"/>
      <c r="AI104" s="1013"/>
      <c r="AJ104" s="204"/>
      <c r="AK104" s="205"/>
      <c r="AL104" s="201"/>
      <c r="AM104" s="171"/>
      <c r="AN104" s="171"/>
      <c r="AO104" s="171"/>
      <c r="AP104" s="206"/>
      <c r="AQ104" s="235"/>
      <c r="AR104" s="170"/>
      <c r="AS104" s="171"/>
      <c r="AT104" s="206"/>
      <c r="AU104" s="1013"/>
      <c r="AV104" s="23"/>
      <c r="AW104" s="23"/>
      <c r="AX104" s="23"/>
      <c r="AY104" s="240"/>
      <c r="AZ104" s="181"/>
      <c r="BA104" s="181"/>
      <c r="BB104" s="222"/>
      <c r="BC104" s="222"/>
      <c r="BD104" s="174"/>
      <c r="BE104" s="241"/>
      <c r="BF104" s="223"/>
      <c r="BG104" s="223"/>
      <c r="BH104" s="223"/>
      <c r="BI104" s="223"/>
      <c r="BJ104" s="223"/>
      <c r="BK104" s="1011"/>
      <c r="BL104" s="241"/>
      <c r="BM104" s="241"/>
      <c r="BN104" s="222"/>
      <c r="BO104" s="223"/>
      <c r="BP104" s="223"/>
      <c r="BQ104" s="223"/>
      <c r="BR104" s="223"/>
      <c r="BS104" s="241"/>
      <c r="BT104" s="241"/>
      <c r="BU104" s="223"/>
      <c r="BV104" s="241"/>
      <c r="BW104" s="241"/>
      <c r="BX104" s="242"/>
      <c r="BY104" s="1013"/>
      <c r="BZ104" s="223"/>
      <c r="CA104" s="224"/>
      <c r="CB104" s="223"/>
      <c r="CC104" s="174"/>
      <c r="CD104" s="243"/>
      <c r="CE104" s="243"/>
      <c r="CF104" s="242"/>
      <c r="CG104" s="241"/>
      <c r="CH104" s="226"/>
      <c r="CI104" s="223"/>
      <c r="CJ104" s="242"/>
      <c r="CK104" s="1013"/>
    </row>
    <row r="105" spans="8:89">
      <c r="H105" s="182"/>
      <c r="I105" s="183"/>
      <c r="J105" s="229"/>
      <c r="K105" s="185"/>
      <c r="L105" s="186"/>
      <c r="M105" s="186"/>
      <c r="N105" s="186"/>
      <c r="O105" s="187"/>
      <c r="P105" s="187"/>
      <c r="Q105" s="187"/>
      <c r="R105" s="187"/>
      <c r="S105" s="187"/>
      <c r="T105" s="189"/>
      <c r="U105" s="1010"/>
      <c r="V105" s="188"/>
      <c r="W105" s="188"/>
      <c r="X105" s="185"/>
      <c r="Y105" s="186"/>
      <c r="Z105" s="186"/>
      <c r="AA105" s="186"/>
      <c r="AB105" s="186"/>
      <c r="AC105" s="230"/>
      <c r="AD105" s="230"/>
      <c r="AE105" s="230"/>
      <c r="AF105" s="199"/>
      <c r="AG105" s="199"/>
      <c r="AH105" s="199"/>
      <c r="AI105" s="1012"/>
      <c r="AJ105" s="189"/>
      <c r="AK105" s="190"/>
      <c r="AL105" s="185"/>
      <c r="AM105" s="186"/>
      <c r="AN105" s="186"/>
      <c r="AO105" s="186"/>
      <c r="AP105" s="199"/>
      <c r="AQ105" s="229"/>
      <c r="AR105" s="198"/>
      <c r="AS105" s="186"/>
      <c r="AT105" s="199"/>
      <c r="AU105" s="1012"/>
      <c r="AV105" s="23"/>
      <c r="AW105" s="23"/>
      <c r="AX105" s="23"/>
      <c r="AY105" s="231"/>
      <c r="AZ105" s="229"/>
      <c r="BA105" s="229"/>
      <c r="BB105" s="219"/>
      <c r="BC105" s="219"/>
      <c r="BD105" s="186"/>
      <c r="BE105" s="232"/>
      <c r="BF105" s="220"/>
      <c r="BG105" s="220"/>
      <c r="BH105" s="220"/>
      <c r="BI105" s="220"/>
      <c r="BJ105" s="220"/>
      <c r="BK105" s="1010"/>
      <c r="BL105" s="232"/>
      <c r="BM105" s="232"/>
      <c r="BN105" s="219"/>
      <c r="BO105" s="220"/>
      <c r="BP105" s="220"/>
      <c r="BQ105" s="220"/>
      <c r="BR105" s="220"/>
      <c r="BS105" s="220"/>
      <c r="BT105" s="220"/>
      <c r="BU105" s="220"/>
      <c r="BV105" s="220"/>
      <c r="BW105" s="220"/>
      <c r="BX105" s="233"/>
      <c r="BY105" s="1012"/>
      <c r="BZ105" s="220"/>
      <c r="CA105" s="221"/>
      <c r="CB105" s="220"/>
      <c r="CC105" s="234"/>
      <c r="CD105" s="234"/>
      <c r="CE105" s="234"/>
      <c r="CF105" s="233"/>
      <c r="CG105" s="232"/>
      <c r="CH105" s="220"/>
      <c r="CI105" s="220"/>
      <c r="CJ105" s="233"/>
      <c r="CK105" s="1012"/>
    </row>
    <row r="106" spans="8:89">
      <c r="H106" s="182"/>
      <c r="I106" s="200"/>
      <c r="J106" s="235"/>
      <c r="K106" s="201"/>
      <c r="L106" s="171"/>
      <c r="M106" s="171"/>
      <c r="N106" s="171"/>
      <c r="O106" s="202"/>
      <c r="P106" s="202"/>
      <c r="Q106" s="202"/>
      <c r="R106" s="202"/>
      <c r="S106" s="202"/>
      <c r="T106" s="204"/>
      <c r="U106" s="1011"/>
      <c r="V106" s="203"/>
      <c r="W106" s="203"/>
      <c r="X106" s="201"/>
      <c r="Y106" s="171"/>
      <c r="Z106" s="171"/>
      <c r="AA106" s="171"/>
      <c r="AB106" s="171"/>
      <c r="AC106" s="236"/>
      <c r="AD106" s="236"/>
      <c r="AE106" s="236"/>
      <c r="AF106" s="206"/>
      <c r="AG106" s="206"/>
      <c r="AH106" s="206"/>
      <c r="AI106" s="1013"/>
      <c r="AJ106" s="204"/>
      <c r="AK106" s="205"/>
      <c r="AL106" s="201"/>
      <c r="AM106" s="171"/>
      <c r="AN106" s="171"/>
      <c r="AO106" s="171"/>
      <c r="AP106" s="206"/>
      <c r="AQ106" s="235"/>
      <c r="AR106" s="170"/>
      <c r="AS106" s="171"/>
      <c r="AT106" s="206"/>
      <c r="AU106" s="1013"/>
      <c r="AV106" s="23"/>
      <c r="AW106" s="23"/>
      <c r="AX106" s="23"/>
      <c r="AY106" s="237"/>
      <c r="AZ106" s="235"/>
      <c r="BA106" s="235"/>
      <c r="BB106" s="225"/>
      <c r="BC106" s="225"/>
      <c r="BD106" s="171"/>
      <c r="BE106" s="238"/>
      <c r="BF106" s="226"/>
      <c r="BG106" s="226"/>
      <c r="BH106" s="226"/>
      <c r="BI106" s="226"/>
      <c r="BJ106" s="226"/>
      <c r="BK106" s="1011"/>
      <c r="BL106" s="238"/>
      <c r="BM106" s="238"/>
      <c r="BN106" s="225"/>
      <c r="BO106" s="226"/>
      <c r="BP106" s="226"/>
      <c r="BQ106" s="226"/>
      <c r="BR106" s="226"/>
      <c r="BS106" s="238"/>
      <c r="BT106" s="238"/>
      <c r="BU106" s="226"/>
      <c r="BV106" s="238"/>
      <c r="BW106" s="238"/>
      <c r="BX106" s="239"/>
      <c r="BY106" s="1013"/>
      <c r="BZ106" s="226"/>
      <c r="CA106" s="227"/>
      <c r="CB106" s="226"/>
      <c r="CC106" s="171"/>
      <c r="CD106" s="217"/>
      <c r="CE106" s="217"/>
      <c r="CF106" s="239"/>
      <c r="CG106" s="238"/>
      <c r="CH106" s="223"/>
      <c r="CI106" s="226"/>
      <c r="CJ106" s="239"/>
      <c r="CK106" s="1013"/>
    </row>
    <row r="107" spans="8:89">
      <c r="H107" s="182"/>
      <c r="I107" s="183"/>
      <c r="J107" s="229"/>
      <c r="K107" s="185"/>
      <c r="L107" s="186"/>
      <c r="M107" s="186"/>
      <c r="N107" s="186"/>
      <c r="O107" s="187"/>
      <c r="P107" s="187"/>
      <c r="Q107" s="187"/>
      <c r="R107" s="187"/>
      <c r="S107" s="187"/>
      <c r="T107" s="189"/>
      <c r="U107" s="1010"/>
      <c r="V107" s="188"/>
      <c r="W107" s="188"/>
      <c r="X107" s="185"/>
      <c r="Y107" s="186"/>
      <c r="Z107" s="186"/>
      <c r="AA107" s="186"/>
      <c r="AB107" s="186"/>
      <c r="AC107" s="230"/>
      <c r="AD107" s="230"/>
      <c r="AE107" s="230"/>
      <c r="AF107" s="199"/>
      <c r="AG107" s="199"/>
      <c r="AH107" s="199"/>
      <c r="AI107" s="1012"/>
      <c r="AJ107" s="189"/>
      <c r="AK107" s="190"/>
      <c r="AL107" s="185"/>
      <c r="AM107" s="186"/>
      <c r="AN107" s="186"/>
      <c r="AO107" s="186"/>
      <c r="AP107" s="199"/>
      <c r="AQ107" s="229"/>
      <c r="AR107" s="198"/>
      <c r="AS107" s="186"/>
      <c r="AT107" s="199"/>
      <c r="AU107" s="1012"/>
      <c r="AV107" s="23"/>
      <c r="AW107" s="23"/>
      <c r="AX107" s="23"/>
      <c r="AY107" s="231"/>
      <c r="AZ107" s="229"/>
      <c r="BA107" s="229"/>
      <c r="BB107" s="219"/>
      <c r="BC107" s="219"/>
      <c r="BD107" s="186"/>
      <c r="BE107" s="232"/>
      <c r="BF107" s="220"/>
      <c r="BG107" s="220"/>
      <c r="BH107" s="220"/>
      <c r="BI107" s="220"/>
      <c r="BJ107" s="220"/>
      <c r="BK107" s="1010"/>
      <c r="BL107" s="232"/>
      <c r="BM107" s="232"/>
      <c r="BN107" s="219"/>
      <c r="BO107" s="220"/>
      <c r="BP107" s="220"/>
      <c r="BQ107" s="220"/>
      <c r="BR107" s="220"/>
      <c r="BS107" s="220"/>
      <c r="BT107" s="220"/>
      <c r="BU107" s="220"/>
      <c r="BV107" s="220"/>
      <c r="BW107" s="220"/>
      <c r="BX107" s="233"/>
      <c r="BY107" s="1012"/>
      <c r="BZ107" s="220"/>
      <c r="CA107" s="221"/>
      <c r="CB107" s="220"/>
      <c r="CC107" s="234"/>
      <c r="CD107" s="234"/>
      <c r="CE107" s="234"/>
      <c r="CF107" s="233"/>
      <c r="CG107" s="232"/>
      <c r="CH107" s="220"/>
      <c r="CI107" s="220"/>
      <c r="CJ107" s="233"/>
      <c r="CK107" s="1012"/>
    </row>
    <row r="108" spans="8:89">
      <c r="H108" s="182"/>
      <c r="I108" s="200"/>
      <c r="J108" s="235"/>
      <c r="K108" s="201"/>
      <c r="L108" s="171"/>
      <c r="M108" s="171"/>
      <c r="N108" s="171"/>
      <c r="O108" s="202"/>
      <c r="P108" s="202"/>
      <c r="Q108" s="202"/>
      <c r="R108" s="202"/>
      <c r="S108" s="202"/>
      <c r="T108" s="204"/>
      <c r="U108" s="1011"/>
      <c r="V108" s="203"/>
      <c r="W108" s="203"/>
      <c r="X108" s="201"/>
      <c r="Y108" s="171"/>
      <c r="Z108" s="171"/>
      <c r="AA108" s="171"/>
      <c r="AB108" s="171"/>
      <c r="AC108" s="236"/>
      <c r="AD108" s="236"/>
      <c r="AE108" s="236"/>
      <c r="AF108" s="206"/>
      <c r="AG108" s="206"/>
      <c r="AH108" s="206"/>
      <c r="AI108" s="1013"/>
      <c r="AJ108" s="204"/>
      <c r="AK108" s="205"/>
      <c r="AL108" s="201"/>
      <c r="AM108" s="171"/>
      <c r="AN108" s="171"/>
      <c r="AO108" s="171"/>
      <c r="AP108" s="206"/>
      <c r="AQ108" s="235"/>
      <c r="AR108" s="170"/>
      <c r="AS108" s="171"/>
      <c r="AT108" s="206"/>
      <c r="AU108" s="1013"/>
      <c r="AV108" s="23"/>
      <c r="AW108" s="23"/>
      <c r="AX108" s="23"/>
      <c r="AY108" s="237"/>
      <c r="AZ108" s="235"/>
      <c r="BA108" s="235"/>
      <c r="BB108" s="225"/>
      <c r="BC108" s="225"/>
      <c r="BD108" s="171"/>
      <c r="BE108" s="238"/>
      <c r="BF108" s="226"/>
      <c r="BG108" s="226"/>
      <c r="BH108" s="226"/>
      <c r="BI108" s="226"/>
      <c r="BJ108" s="226"/>
      <c r="BK108" s="1011"/>
      <c r="BL108" s="238"/>
      <c r="BM108" s="238"/>
      <c r="BN108" s="225"/>
      <c r="BO108" s="226"/>
      <c r="BP108" s="226"/>
      <c r="BQ108" s="226"/>
      <c r="BR108" s="226"/>
      <c r="BS108" s="238"/>
      <c r="BT108" s="238"/>
      <c r="BU108" s="226"/>
      <c r="BV108" s="238"/>
      <c r="BW108" s="238"/>
      <c r="BX108" s="239"/>
      <c r="BY108" s="1013"/>
      <c r="BZ108" s="226"/>
      <c r="CA108" s="227"/>
      <c r="CB108" s="226"/>
      <c r="CC108" s="171"/>
      <c r="CD108" s="217"/>
      <c r="CE108" s="217"/>
      <c r="CF108" s="239"/>
      <c r="CG108" s="238"/>
      <c r="CH108" s="226"/>
      <c r="CI108" s="226"/>
      <c r="CJ108" s="239"/>
      <c r="CK108" s="1013"/>
    </row>
    <row r="109" spans="8:89">
      <c r="H109" s="182"/>
      <c r="I109" s="183"/>
      <c r="J109" s="229"/>
      <c r="K109" s="185"/>
      <c r="L109" s="186"/>
      <c r="M109" s="186"/>
      <c r="N109" s="186"/>
      <c r="O109" s="187"/>
      <c r="P109" s="187"/>
      <c r="Q109" s="187"/>
      <c r="R109" s="187"/>
      <c r="S109" s="187"/>
      <c r="T109" s="189"/>
      <c r="U109" s="1010"/>
      <c r="V109" s="188"/>
      <c r="W109" s="188"/>
      <c r="X109" s="185"/>
      <c r="Y109" s="186"/>
      <c r="Z109" s="186"/>
      <c r="AA109" s="186"/>
      <c r="AB109" s="186"/>
      <c r="AC109" s="230"/>
      <c r="AD109" s="230"/>
      <c r="AE109" s="230"/>
      <c r="AF109" s="199"/>
      <c r="AG109" s="199"/>
      <c r="AH109" s="199"/>
      <c r="AI109" s="1012"/>
      <c r="AJ109" s="189"/>
      <c r="AK109" s="190"/>
      <c r="AL109" s="185"/>
      <c r="AM109" s="186"/>
      <c r="AN109" s="186"/>
      <c r="AO109" s="186"/>
      <c r="AP109" s="199"/>
      <c r="AQ109" s="229"/>
      <c r="AR109" s="198"/>
      <c r="AS109" s="186"/>
      <c r="AT109" s="199"/>
      <c r="AU109" s="1012"/>
      <c r="AV109" s="23"/>
      <c r="AW109" s="23"/>
      <c r="AX109" s="23"/>
      <c r="AY109" s="231"/>
      <c r="AZ109" s="229"/>
      <c r="BA109" s="229"/>
      <c r="BB109" s="219"/>
      <c r="BC109" s="219"/>
      <c r="BD109" s="186"/>
      <c r="BE109" s="232"/>
      <c r="BF109" s="220"/>
      <c r="BG109" s="220"/>
      <c r="BH109" s="220"/>
      <c r="BI109" s="220"/>
      <c r="BJ109" s="220"/>
      <c r="BK109" s="1010"/>
      <c r="BL109" s="232"/>
      <c r="BM109" s="232"/>
      <c r="BN109" s="219"/>
      <c r="BO109" s="220"/>
      <c r="BP109" s="220"/>
      <c r="BQ109" s="220"/>
      <c r="BR109" s="220"/>
      <c r="BS109" s="220"/>
      <c r="BT109" s="220"/>
      <c r="BU109" s="220"/>
      <c r="BV109" s="220"/>
      <c r="BW109" s="220"/>
      <c r="BX109" s="233"/>
      <c r="BY109" s="1012"/>
      <c r="BZ109" s="220"/>
      <c r="CA109" s="221"/>
      <c r="CB109" s="220"/>
      <c r="CC109" s="234"/>
      <c r="CD109" s="234"/>
      <c r="CE109" s="234"/>
      <c r="CF109" s="233"/>
      <c r="CG109" s="232"/>
      <c r="CH109" s="220"/>
      <c r="CI109" s="220"/>
      <c r="CJ109" s="233"/>
      <c r="CK109" s="1012"/>
    </row>
    <row r="110" spans="8:89">
      <c r="H110" s="182"/>
      <c r="I110" s="200"/>
      <c r="J110" s="235"/>
      <c r="K110" s="201"/>
      <c r="L110" s="171"/>
      <c r="M110" s="171"/>
      <c r="N110" s="171"/>
      <c r="O110" s="202"/>
      <c r="P110" s="202"/>
      <c r="Q110" s="202"/>
      <c r="R110" s="202"/>
      <c r="S110" s="202"/>
      <c r="T110" s="204"/>
      <c r="U110" s="1011"/>
      <c r="V110" s="203"/>
      <c r="W110" s="203"/>
      <c r="X110" s="201"/>
      <c r="Y110" s="171"/>
      <c r="Z110" s="171"/>
      <c r="AA110" s="171"/>
      <c r="AB110" s="171"/>
      <c r="AC110" s="236"/>
      <c r="AD110" s="236"/>
      <c r="AE110" s="236"/>
      <c r="AF110" s="206"/>
      <c r="AG110" s="206"/>
      <c r="AH110" s="206"/>
      <c r="AI110" s="1013"/>
      <c r="AJ110" s="204"/>
      <c r="AK110" s="205"/>
      <c r="AL110" s="201"/>
      <c r="AM110" s="171"/>
      <c r="AN110" s="171"/>
      <c r="AO110" s="171"/>
      <c r="AP110" s="206"/>
      <c r="AQ110" s="235"/>
      <c r="AR110" s="170"/>
      <c r="AS110" s="171"/>
      <c r="AT110" s="206"/>
      <c r="AU110" s="1013"/>
      <c r="AV110" s="23"/>
      <c r="AW110" s="23"/>
      <c r="AX110" s="23"/>
      <c r="AY110" s="237"/>
      <c r="AZ110" s="235"/>
      <c r="BA110" s="235"/>
      <c r="BB110" s="225"/>
      <c r="BC110" s="225"/>
      <c r="BD110" s="171"/>
      <c r="BE110" s="238"/>
      <c r="BF110" s="226"/>
      <c r="BG110" s="226"/>
      <c r="BH110" s="226"/>
      <c r="BI110" s="226"/>
      <c r="BJ110" s="226"/>
      <c r="BK110" s="1011"/>
      <c r="BL110" s="238"/>
      <c r="BM110" s="238"/>
      <c r="BN110" s="225"/>
      <c r="BO110" s="226"/>
      <c r="BP110" s="226"/>
      <c r="BQ110" s="226"/>
      <c r="BR110" s="226"/>
      <c r="BS110" s="238"/>
      <c r="BT110" s="238"/>
      <c r="BU110" s="226"/>
      <c r="BV110" s="238"/>
      <c r="BW110" s="238"/>
      <c r="BX110" s="239"/>
      <c r="BY110" s="1013"/>
      <c r="BZ110" s="226"/>
      <c r="CA110" s="227"/>
      <c r="CB110" s="226"/>
      <c r="CC110" s="171"/>
      <c r="CD110" s="217"/>
      <c r="CE110" s="217"/>
      <c r="CF110" s="239"/>
      <c r="CG110" s="238"/>
      <c r="CH110" s="223"/>
      <c r="CI110" s="226"/>
      <c r="CJ110" s="239"/>
      <c r="CK110" s="1013"/>
    </row>
    <row r="111" spans="8:89">
      <c r="H111" s="182"/>
      <c r="I111" s="183"/>
      <c r="J111" s="229"/>
      <c r="K111" s="185"/>
      <c r="L111" s="186"/>
      <c r="M111" s="186"/>
      <c r="N111" s="186"/>
      <c r="O111" s="187"/>
      <c r="P111" s="187"/>
      <c r="Q111" s="187"/>
      <c r="R111" s="187"/>
      <c r="S111" s="187"/>
      <c r="T111" s="189"/>
      <c r="U111" s="1010"/>
      <c r="V111" s="188"/>
      <c r="W111" s="188"/>
      <c r="X111" s="185"/>
      <c r="Y111" s="186"/>
      <c r="Z111" s="186"/>
      <c r="AA111" s="186"/>
      <c r="AB111" s="186"/>
      <c r="AC111" s="230"/>
      <c r="AD111" s="230"/>
      <c r="AE111" s="230"/>
      <c r="AF111" s="199"/>
      <c r="AG111" s="199"/>
      <c r="AH111" s="199"/>
      <c r="AI111" s="1012"/>
      <c r="AJ111" s="189"/>
      <c r="AK111" s="190"/>
      <c r="AL111" s="185"/>
      <c r="AM111" s="186"/>
      <c r="AN111" s="186"/>
      <c r="AO111" s="186"/>
      <c r="AP111" s="199"/>
      <c r="AQ111" s="229"/>
      <c r="AR111" s="198"/>
      <c r="AS111" s="186"/>
      <c r="AT111" s="199"/>
      <c r="AU111" s="1012"/>
      <c r="AV111" s="23"/>
      <c r="AW111" s="23"/>
      <c r="AX111" s="23"/>
      <c r="AY111" s="231"/>
      <c r="AZ111" s="229"/>
      <c r="BA111" s="229"/>
      <c r="BB111" s="219"/>
      <c r="BC111" s="219"/>
      <c r="BD111" s="186"/>
      <c r="BE111" s="232"/>
      <c r="BF111" s="220"/>
      <c r="BG111" s="220"/>
      <c r="BH111" s="220"/>
      <c r="BI111" s="220"/>
      <c r="BJ111" s="220"/>
      <c r="BK111" s="1010"/>
      <c r="BL111" s="232"/>
      <c r="BM111" s="232"/>
      <c r="BN111" s="219"/>
      <c r="BO111" s="220"/>
      <c r="BP111" s="220"/>
      <c r="BQ111" s="220"/>
      <c r="BR111" s="220"/>
      <c r="BS111" s="220"/>
      <c r="BT111" s="220"/>
      <c r="BU111" s="220"/>
      <c r="BV111" s="220"/>
      <c r="BW111" s="220"/>
      <c r="BX111" s="233"/>
      <c r="BY111" s="1012"/>
      <c r="BZ111" s="220"/>
      <c r="CA111" s="221"/>
      <c r="CB111" s="220"/>
      <c r="CC111" s="234"/>
      <c r="CD111" s="234"/>
      <c r="CE111" s="234"/>
      <c r="CF111" s="233"/>
      <c r="CG111" s="232"/>
      <c r="CH111" s="220"/>
      <c r="CI111" s="220"/>
      <c r="CJ111" s="233"/>
      <c r="CK111" s="1012"/>
    </row>
    <row r="112" spans="8:89">
      <c r="H112" s="182"/>
      <c r="I112" s="200"/>
      <c r="J112" s="235"/>
      <c r="K112" s="201"/>
      <c r="L112" s="171"/>
      <c r="M112" s="171"/>
      <c r="N112" s="171"/>
      <c r="O112" s="202"/>
      <c r="P112" s="202"/>
      <c r="Q112" s="202"/>
      <c r="R112" s="202"/>
      <c r="S112" s="202"/>
      <c r="T112" s="204"/>
      <c r="U112" s="1011"/>
      <c r="V112" s="203"/>
      <c r="W112" s="203"/>
      <c r="X112" s="201"/>
      <c r="Y112" s="171"/>
      <c r="Z112" s="171"/>
      <c r="AA112" s="171"/>
      <c r="AB112" s="171"/>
      <c r="AC112" s="236"/>
      <c r="AD112" s="236"/>
      <c r="AE112" s="236"/>
      <c r="AF112" s="206"/>
      <c r="AG112" s="206"/>
      <c r="AH112" s="206"/>
      <c r="AI112" s="1013"/>
      <c r="AJ112" s="204"/>
      <c r="AK112" s="205"/>
      <c r="AL112" s="201"/>
      <c r="AM112" s="171"/>
      <c r="AN112" s="171"/>
      <c r="AO112" s="171"/>
      <c r="AP112" s="206"/>
      <c r="AQ112" s="235"/>
      <c r="AR112" s="170"/>
      <c r="AS112" s="171"/>
      <c r="AT112" s="206"/>
      <c r="AU112" s="1013"/>
      <c r="AV112" s="23"/>
      <c r="AW112" s="23"/>
      <c r="AX112" s="23"/>
      <c r="AY112" s="237"/>
      <c r="AZ112" s="235"/>
      <c r="BA112" s="235"/>
      <c r="BB112" s="225"/>
      <c r="BC112" s="225"/>
      <c r="BD112" s="171"/>
      <c r="BE112" s="238"/>
      <c r="BF112" s="226"/>
      <c r="BG112" s="226"/>
      <c r="BH112" s="226"/>
      <c r="BI112" s="226"/>
      <c r="BJ112" s="226"/>
      <c r="BK112" s="1011"/>
      <c r="BL112" s="238"/>
      <c r="BM112" s="238"/>
      <c r="BN112" s="225"/>
      <c r="BO112" s="226"/>
      <c r="BP112" s="226"/>
      <c r="BQ112" s="226"/>
      <c r="BR112" s="226"/>
      <c r="BS112" s="238"/>
      <c r="BT112" s="238"/>
      <c r="BU112" s="226"/>
      <c r="BV112" s="238"/>
      <c r="BW112" s="238"/>
      <c r="BX112" s="239"/>
      <c r="BY112" s="1013"/>
      <c r="BZ112" s="226"/>
      <c r="CA112" s="227"/>
      <c r="CB112" s="226"/>
      <c r="CC112" s="171"/>
      <c r="CD112" s="217"/>
      <c r="CE112" s="217"/>
      <c r="CF112" s="239"/>
      <c r="CG112" s="238"/>
      <c r="CH112" s="226"/>
      <c r="CI112" s="226"/>
      <c r="CJ112" s="239"/>
      <c r="CK112" s="1013"/>
    </row>
    <row r="113" spans="8:89">
      <c r="H113" s="182"/>
      <c r="I113" s="183"/>
      <c r="J113" s="229"/>
      <c r="K113" s="185"/>
      <c r="L113" s="186"/>
      <c r="M113" s="186"/>
      <c r="N113" s="186"/>
      <c r="O113" s="187"/>
      <c r="P113" s="187"/>
      <c r="Q113" s="187"/>
      <c r="R113" s="187"/>
      <c r="S113" s="187"/>
      <c r="T113" s="189"/>
      <c r="U113" s="1010"/>
      <c r="V113" s="188"/>
      <c r="W113" s="188"/>
      <c r="X113" s="185"/>
      <c r="Y113" s="186"/>
      <c r="Z113" s="186"/>
      <c r="AA113" s="186"/>
      <c r="AB113" s="186"/>
      <c r="AC113" s="230"/>
      <c r="AD113" s="230"/>
      <c r="AE113" s="230"/>
      <c r="AF113" s="199"/>
      <c r="AG113" s="199"/>
      <c r="AH113" s="199"/>
      <c r="AI113" s="1012"/>
      <c r="AJ113" s="189"/>
      <c r="AK113" s="190"/>
      <c r="AL113" s="185"/>
      <c r="AM113" s="186"/>
      <c r="AN113" s="186"/>
      <c r="AO113" s="186"/>
      <c r="AP113" s="199"/>
      <c r="AQ113" s="229"/>
      <c r="AR113" s="198"/>
      <c r="AS113" s="186"/>
      <c r="AT113" s="199"/>
      <c r="AU113" s="1012"/>
      <c r="AV113" s="23"/>
      <c r="AW113" s="23"/>
      <c r="AX113" s="23"/>
      <c r="AY113" s="231"/>
      <c r="AZ113" s="229"/>
      <c r="BA113" s="229"/>
      <c r="BB113" s="219"/>
      <c r="BC113" s="219"/>
      <c r="BD113" s="186"/>
      <c r="BE113" s="232"/>
      <c r="BF113" s="220"/>
      <c r="BG113" s="220"/>
      <c r="BH113" s="220"/>
      <c r="BI113" s="220"/>
      <c r="BJ113" s="220"/>
      <c r="BK113" s="1010"/>
      <c r="BL113" s="232"/>
      <c r="BM113" s="232"/>
      <c r="BN113" s="219"/>
      <c r="BO113" s="220"/>
      <c r="BP113" s="220"/>
      <c r="BQ113" s="220"/>
      <c r="BR113" s="220"/>
      <c r="BS113" s="220"/>
      <c r="BT113" s="220"/>
      <c r="BU113" s="220"/>
      <c r="BV113" s="220"/>
      <c r="BW113" s="220"/>
      <c r="BX113" s="233"/>
      <c r="BY113" s="1012"/>
      <c r="BZ113" s="220"/>
      <c r="CA113" s="221"/>
      <c r="CB113" s="220"/>
      <c r="CC113" s="234"/>
      <c r="CD113" s="234"/>
      <c r="CE113" s="234"/>
      <c r="CF113" s="233"/>
      <c r="CG113" s="232"/>
      <c r="CH113" s="220"/>
      <c r="CI113" s="220"/>
      <c r="CJ113" s="233"/>
      <c r="CK113" s="1012"/>
    </row>
    <row r="114" spans="8:89">
      <c r="H114" s="182"/>
      <c r="I114" s="200"/>
      <c r="J114" s="235"/>
      <c r="K114" s="201"/>
      <c r="L114" s="171"/>
      <c r="M114" s="171"/>
      <c r="N114" s="171"/>
      <c r="O114" s="202"/>
      <c r="P114" s="202"/>
      <c r="Q114" s="202"/>
      <c r="R114" s="202"/>
      <c r="S114" s="202"/>
      <c r="T114" s="204"/>
      <c r="U114" s="1011"/>
      <c r="V114" s="203"/>
      <c r="W114" s="203"/>
      <c r="X114" s="201"/>
      <c r="Y114" s="171"/>
      <c r="Z114" s="171"/>
      <c r="AA114" s="171"/>
      <c r="AB114" s="171"/>
      <c r="AC114" s="236"/>
      <c r="AD114" s="236"/>
      <c r="AE114" s="236"/>
      <c r="AF114" s="206"/>
      <c r="AG114" s="206"/>
      <c r="AH114" s="206"/>
      <c r="AI114" s="1013"/>
      <c r="AJ114" s="204"/>
      <c r="AK114" s="205"/>
      <c r="AL114" s="201"/>
      <c r="AM114" s="171"/>
      <c r="AN114" s="171"/>
      <c r="AO114" s="171"/>
      <c r="AP114" s="206"/>
      <c r="AQ114" s="235"/>
      <c r="AR114" s="170"/>
      <c r="AS114" s="171"/>
      <c r="AT114" s="206"/>
      <c r="AU114" s="1013"/>
      <c r="AV114" s="23"/>
      <c r="AW114" s="23"/>
      <c r="AX114" s="23"/>
      <c r="AY114" s="237"/>
      <c r="AZ114" s="235"/>
      <c r="BA114" s="235"/>
      <c r="BB114" s="225"/>
      <c r="BC114" s="225"/>
      <c r="BD114" s="171"/>
      <c r="BE114" s="238"/>
      <c r="BF114" s="226"/>
      <c r="BG114" s="226"/>
      <c r="BH114" s="226"/>
      <c r="BI114" s="226"/>
      <c r="BJ114" s="226"/>
      <c r="BK114" s="1011"/>
      <c r="BL114" s="238"/>
      <c r="BM114" s="238"/>
      <c r="BN114" s="225"/>
      <c r="BO114" s="226"/>
      <c r="BP114" s="226"/>
      <c r="BQ114" s="226"/>
      <c r="BR114" s="226"/>
      <c r="BS114" s="238"/>
      <c r="BT114" s="238"/>
      <c r="BU114" s="226"/>
      <c r="BV114" s="238"/>
      <c r="BW114" s="238"/>
      <c r="BX114" s="239"/>
      <c r="BY114" s="1013"/>
      <c r="BZ114" s="226"/>
      <c r="CA114" s="227"/>
      <c r="CB114" s="226"/>
      <c r="CC114" s="171"/>
      <c r="CD114" s="217"/>
      <c r="CE114" s="217"/>
      <c r="CF114" s="239"/>
      <c r="CG114" s="238"/>
      <c r="CH114" s="223"/>
      <c r="CI114" s="226"/>
      <c r="CJ114" s="239"/>
      <c r="CK114" s="1013"/>
    </row>
    <row r="115" spans="8:89">
      <c r="H115" s="182"/>
      <c r="I115" s="183"/>
      <c r="J115" s="229"/>
      <c r="K115" s="185"/>
      <c r="L115" s="186"/>
      <c r="M115" s="186"/>
      <c r="N115" s="186"/>
      <c r="O115" s="187"/>
      <c r="P115" s="187"/>
      <c r="Q115" s="187"/>
      <c r="R115" s="187"/>
      <c r="S115" s="187"/>
      <c r="T115" s="189"/>
      <c r="U115" s="1010"/>
      <c r="V115" s="188"/>
      <c r="W115" s="188"/>
      <c r="X115" s="185"/>
      <c r="Y115" s="186"/>
      <c r="Z115" s="186"/>
      <c r="AA115" s="186"/>
      <c r="AB115" s="186"/>
      <c r="AC115" s="230"/>
      <c r="AD115" s="230"/>
      <c r="AE115" s="230"/>
      <c r="AF115" s="199"/>
      <c r="AG115" s="199"/>
      <c r="AH115" s="199"/>
      <c r="AI115" s="1012"/>
      <c r="AJ115" s="189"/>
      <c r="AK115" s="190"/>
      <c r="AL115" s="185"/>
      <c r="AM115" s="186"/>
      <c r="AN115" s="186"/>
      <c r="AO115" s="186"/>
      <c r="AP115" s="199"/>
      <c r="AQ115" s="229"/>
      <c r="AR115" s="198"/>
      <c r="AS115" s="186"/>
      <c r="AT115" s="199"/>
      <c r="AU115" s="1012"/>
      <c r="AV115" s="23"/>
      <c r="AW115" s="23"/>
      <c r="AX115" s="23"/>
      <c r="AY115" s="231"/>
      <c r="AZ115" s="229"/>
      <c r="BA115" s="229"/>
      <c r="BB115" s="219"/>
      <c r="BC115" s="219"/>
      <c r="BD115" s="186"/>
      <c r="BE115" s="232"/>
      <c r="BF115" s="220"/>
      <c r="BG115" s="220"/>
      <c r="BH115" s="220"/>
      <c r="BI115" s="220"/>
      <c r="BJ115" s="220"/>
      <c r="BK115" s="1010"/>
      <c r="BL115" s="232"/>
      <c r="BM115" s="232"/>
      <c r="BN115" s="219"/>
      <c r="BO115" s="220"/>
      <c r="BP115" s="220"/>
      <c r="BQ115" s="220"/>
      <c r="BR115" s="220"/>
      <c r="BS115" s="220"/>
      <c r="BT115" s="220"/>
      <c r="BU115" s="220"/>
      <c r="BV115" s="220"/>
      <c r="BW115" s="220"/>
      <c r="BX115" s="233"/>
      <c r="BY115" s="1012"/>
      <c r="BZ115" s="220"/>
      <c r="CA115" s="221"/>
      <c r="CB115" s="220"/>
      <c r="CC115" s="234"/>
      <c r="CD115" s="234"/>
      <c r="CE115" s="234"/>
      <c r="CF115" s="233"/>
      <c r="CG115" s="232"/>
      <c r="CH115" s="220"/>
      <c r="CI115" s="220"/>
      <c r="CJ115" s="233"/>
      <c r="CK115" s="1012"/>
    </row>
    <row r="116" spans="8:89">
      <c r="H116" s="182"/>
      <c r="I116" s="200"/>
      <c r="J116" s="235"/>
      <c r="K116" s="201"/>
      <c r="L116" s="171"/>
      <c r="M116" s="171"/>
      <c r="N116" s="171"/>
      <c r="O116" s="202"/>
      <c r="P116" s="202"/>
      <c r="Q116" s="202"/>
      <c r="R116" s="202"/>
      <c r="S116" s="202"/>
      <c r="T116" s="204"/>
      <c r="U116" s="1011"/>
      <c r="V116" s="203"/>
      <c r="W116" s="203"/>
      <c r="X116" s="201"/>
      <c r="Y116" s="171"/>
      <c r="Z116" s="171"/>
      <c r="AA116" s="171"/>
      <c r="AB116" s="171"/>
      <c r="AC116" s="236"/>
      <c r="AD116" s="236"/>
      <c r="AE116" s="236"/>
      <c r="AF116" s="206"/>
      <c r="AG116" s="206"/>
      <c r="AH116" s="206"/>
      <c r="AI116" s="1013"/>
      <c r="AJ116" s="204"/>
      <c r="AK116" s="205"/>
      <c r="AL116" s="201"/>
      <c r="AM116" s="171"/>
      <c r="AN116" s="171"/>
      <c r="AO116" s="171"/>
      <c r="AP116" s="206"/>
      <c r="AQ116" s="235"/>
      <c r="AR116" s="170"/>
      <c r="AS116" s="171"/>
      <c r="AT116" s="206"/>
      <c r="AU116" s="1013"/>
      <c r="AV116" s="23"/>
      <c r="AW116" s="23"/>
      <c r="AX116" s="23"/>
      <c r="AY116" s="237"/>
      <c r="AZ116" s="235"/>
      <c r="BA116" s="235"/>
      <c r="BB116" s="225"/>
      <c r="BC116" s="225"/>
      <c r="BD116" s="171"/>
      <c r="BE116" s="238"/>
      <c r="BF116" s="226"/>
      <c r="BG116" s="226"/>
      <c r="BH116" s="226"/>
      <c r="BI116" s="226"/>
      <c r="BJ116" s="226"/>
      <c r="BK116" s="1011"/>
      <c r="BL116" s="238"/>
      <c r="BM116" s="238"/>
      <c r="BN116" s="225"/>
      <c r="BO116" s="226"/>
      <c r="BP116" s="226"/>
      <c r="BQ116" s="226"/>
      <c r="BR116" s="226"/>
      <c r="BS116" s="238"/>
      <c r="BT116" s="238"/>
      <c r="BU116" s="226"/>
      <c r="BV116" s="238"/>
      <c r="BW116" s="238"/>
      <c r="BX116" s="239"/>
      <c r="BY116" s="1013"/>
      <c r="BZ116" s="226"/>
      <c r="CA116" s="227"/>
      <c r="CB116" s="226"/>
      <c r="CC116" s="171"/>
      <c r="CD116" s="217"/>
      <c r="CE116" s="217"/>
      <c r="CF116" s="239"/>
      <c r="CG116" s="238"/>
      <c r="CH116" s="226"/>
      <c r="CI116" s="226"/>
      <c r="CJ116" s="239"/>
      <c r="CK116" s="1013"/>
    </row>
    <row r="117" spans="8:89">
      <c r="H117" s="182"/>
      <c r="I117" s="183"/>
      <c r="J117" s="229"/>
      <c r="K117" s="185"/>
      <c r="L117" s="186"/>
      <c r="M117" s="186"/>
      <c r="N117" s="186"/>
      <c r="O117" s="187"/>
      <c r="P117" s="187"/>
      <c r="Q117" s="187"/>
      <c r="R117" s="187"/>
      <c r="S117" s="187"/>
      <c r="T117" s="189"/>
      <c r="U117" s="1010"/>
      <c r="V117" s="188"/>
      <c r="W117" s="188"/>
      <c r="X117" s="185"/>
      <c r="Y117" s="186"/>
      <c r="Z117" s="186"/>
      <c r="AA117" s="186"/>
      <c r="AB117" s="186"/>
      <c r="AC117" s="230"/>
      <c r="AD117" s="230"/>
      <c r="AE117" s="230"/>
      <c r="AF117" s="199"/>
      <c r="AG117" s="199"/>
      <c r="AH117" s="199"/>
      <c r="AI117" s="1012"/>
      <c r="AJ117" s="189"/>
      <c r="AK117" s="190"/>
      <c r="AL117" s="185"/>
      <c r="AM117" s="186"/>
      <c r="AN117" s="186"/>
      <c r="AO117" s="186"/>
      <c r="AP117" s="199"/>
      <c r="AQ117" s="229"/>
      <c r="AR117" s="198"/>
      <c r="AS117" s="186"/>
      <c r="AT117" s="199"/>
      <c r="AU117" s="1012"/>
      <c r="AV117" s="23"/>
      <c r="AW117" s="23"/>
      <c r="AX117" s="23"/>
      <c r="AY117" s="231"/>
      <c r="AZ117" s="229"/>
      <c r="BA117" s="229"/>
      <c r="BB117" s="219"/>
      <c r="BC117" s="219"/>
      <c r="BD117" s="186"/>
      <c r="BE117" s="232"/>
      <c r="BF117" s="220"/>
      <c r="BG117" s="220"/>
      <c r="BH117" s="220"/>
      <c r="BI117" s="220"/>
      <c r="BJ117" s="220"/>
      <c r="BK117" s="1010"/>
      <c r="BL117" s="232"/>
      <c r="BM117" s="232"/>
      <c r="BN117" s="219"/>
      <c r="BO117" s="220"/>
      <c r="BP117" s="220"/>
      <c r="BQ117" s="220"/>
      <c r="BR117" s="220"/>
      <c r="BS117" s="220"/>
      <c r="BT117" s="220"/>
      <c r="BU117" s="220"/>
      <c r="BV117" s="220"/>
      <c r="BW117" s="220"/>
      <c r="BX117" s="233"/>
      <c r="BY117" s="1012"/>
      <c r="BZ117" s="220"/>
      <c r="CA117" s="221"/>
      <c r="CB117" s="220"/>
      <c r="CC117" s="234"/>
      <c r="CD117" s="234"/>
      <c r="CE117" s="234"/>
      <c r="CF117" s="233"/>
      <c r="CG117" s="232"/>
      <c r="CH117" s="220"/>
      <c r="CI117" s="220"/>
      <c r="CJ117" s="233"/>
      <c r="CK117" s="1012"/>
    </row>
    <row r="118" spans="8:89">
      <c r="H118" s="182"/>
      <c r="I118" s="200"/>
      <c r="J118" s="235"/>
      <c r="K118" s="201"/>
      <c r="L118" s="171"/>
      <c r="M118" s="171"/>
      <c r="N118" s="171"/>
      <c r="O118" s="202"/>
      <c r="P118" s="202"/>
      <c r="Q118" s="202"/>
      <c r="R118" s="202"/>
      <c r="S118" s="202"/>
      <c r="T118" s="204"/>
      <c r="U118" s="1011"/>
      <c r="V118" s="203"/>
      <c r="W118" s="203"/>
      <c r="X118" s="201"/>
      <c r="Y118" s="171"/>
      <c r="Z118" s="171"/>
      <c r="AA118" s="171"/>
      <c r="AB118" s="171"/>
      <c r="AC118" s="236"/>
      <c r="AD118" s="236"/>
      <c r="AE118" s="236"/>
      <c r="AF118" s="206"/>
      <c r="AG118" s="206"/>
      <c r="AH118" s="206"/>
      <c r="AI118" s="1013"/>
      <c r="AJ118" s="204"/>
      <c r="AK118" s="205"/>
      <c r="AL118" s="201"/>
      <c r="AM118" s="171"/>
      <c r="AN118" s="171"/>
      <c r="AO118" s="171"/>
      <c r="AP118" s="206"/>
      <c r="AQ118" s="235"/>
      <c r="AR118" s="170"/>
      <c r="AS118" s="171"/>
      <c r="AT118" s="206"/>
      <c r="AU118" s="1013"/>
      <c r="AV118" s="23"/>
      <c r="AW118" s="23"/>
      <c r="AX118" s="23"/>
      <c r="AY118" s="237"/>
      <c r="AZ118" s="235"/>
      <c r="BA118" s="235"/>
      <c r="BB118" s="225"/>
      <c r="BC118" s="225"/>
      <c r="BD118" s="171"/>
      <c r="BE118" s="238"/>
      <c r="BF118" s="226"/>
      <c r="BG118" s="226"/>
      <c r="BH118" s="226"/>
      <c r="BI118" s="226"/>
      <c r="BJ118" s="226"/>
      <c r="BK118" s="1011"/>
      <c r="BL118" s="238"/>
      <c r="BM118" s="238"/>
      <c r="BN118" s="225"/>
      <c r="BO118" s="226"/>
      <c r="BP118" s="226"/>
      <c r="BQ118" s="226"/>
      <c r="BR118" s="226"/>
      <c r="BS118" s="238"/>
      <c r="BT118" s="238"/>
      <c r="BU118" s="226"/>
      <c r="BV118" s="238"/>
      <c r="BW118" s="238"/>
      <c r="BX118" s="239"/>
      <c r="BY118" s="1013"/>
      <c r="BZ118" s="226"/>
      <c r="CA118" s="227"/>
      <c r="CB118" s="226"/>
      <c r="CC118" s="171"/>
      <c r="CD118" s="217"/>
      <c r="CE118" s="217"/>
      <c r="CF118" s="239"/>
      <c r="CG118" s="238"/>
      <c r="CH118" s="223"/>
      <c r="CI118" s="226"/>
      <c r="CJ118" s="239"/>
      <c r="CK118" s="1013"/>
    </row>
    <row r="119" spans="8:89">
      <c r="H119" s="182"/>
      <c r="I119" s="183"/>
      <c r="J119" s="229"/>
      <c r="K119" s="185"/>
      <c r="L119" s="186"/>
      <c r="M119" s="186"/>
      <c r="N119" s="186"/>
      <c r="O119" s="187"/>
      <c r="P119" s="187"/>
      <c r="Q119" s="187"/>
      <c r="R119" s="187"/>
      <c r="S119" s="187"/>
      <c r="T119" s="189"/>
      <c r="U119" s="1010"/>
      <c r="V119" s="188"/>
      <c r="W119" s="188"/>
      <c r="X119" s="185"/>
      <c r="Y119" s="186"/>
      <c r="Z119" s="186"/>
      <c r="AA119" s="186"/>
      <c r="AB119" s="186"/>
      <c r="AC119" s="230"/>
      <c r="AD119" s="230"/>
      <c r="AE119" s="230"/>
      <c r="AF119" s="199"/>
      <c r="AG119" s="199"/>
      <c r="AH119" s="199"/>
      <c r="AI119" s="1012"/>
      <c r="AJ119" s="189"/>
      <c r="AK119" s="190"/>
      <c r="AL119" s="185"/>
      <c r="AM119" s="186"/>
      <c r="AN119" s="186"/>
      <c r="AO119" s="186"/>
      <c r="AP119" s="199"/>
      <c r="AQ119" s="229"/>
      <c r="AR119" s="198"/>
      <c r="AS119" s="186"/>
      <c r="AT119" s="199"/>
      <c r="AU119" s="1012"/>
      <c r="AV119" s="23"/>
      <c r="AW119" s="23"/>
      <c r="AX119" s="23"/>
      <c r="AY119" s="231"/>
      <c r="AZ119" s="229"/>
      <c r="BA119" s="229"/>
      <c r="BB119" s="219"/>
      <c r="BC119" s="219"/>
      <c r="BD119" s="186"/>
      <c r="BE119" s="232"/>
      <c r="BF119" s="220"/>
      <c r="BG119" s="220"/>
      <c r="BH119" s="220"/>
      <c r="BI119" s="220"/>
      <c r="BJ119" s="220"/>
      <c r="BK119" s="1010"/>
      <c r="BL119" s="232"/>
      <c r="BM119" s="232"/>
      <c r="BN119" s="219"/>
      <c r="BO119" s="220"/>
      <c r="BP119" s="220"/>
      <c r="BQ119" s="220"/>
      <c r="BR119" s="220"/>
      <c r="BS119" s="220"/>
      <c r="BT119" s="220"/>
      <c r="BU119" s="220"/>
      <c r="BV119" s="220"/>
      <c r="BW119" s="220"/>
      <c r="BX119" s="233"/>
      <c r="BY119" s="1012"/>
      <c r="BZ119" s="220"/>
      <c r="CA119" s="221"/>
      <c r="CB119" s="220"/>
      <c r="CC119" s="234"/>
      <c r="CD119" s="234"/>
      <c r="CE119" s="234"/>
      <c r="CF119" s="233"/>
      <c r="CG119" s="232"/>
      <c r="CH119" s="220"/>
      <c r="CI119" s="220"/>
      <c r="CJ119" s="233"/>
      <c r="CK119" s="1012"/>
    </row>
    <row r="120" spans="8:89">
      <c r="H120" s="182"/>
      <c r="I120" s="200"/>
      <c r="J120" s="235"/>
      <c r="K120" s="201"/>
      <c r="L120" s="171"/>
      <c r="M120" s="171"/>
      <c r="N120" s="171"/>
      <c r="O120" s="202"/>
      <c r="P120" s="202"/>
      <c r="Q120" s="202"/>
      <c r="R120" s="202"/>
      <c r="S120" s="202"/>
      <c r="T120" s="204"/>
      <c r="U120" s="1011"/>
      <c r="V120" s="203"/>
      <c r="W120" s="203"/>
      <c r="X120" s="201"/>
      <c r="Y120" s="171"/>
      <c r="Z120" s="171"/>
      <c r="AA120" s="171"/>
      <c r="AB120" s="171"/>
      <c r="AC120" s="236"/>
      <c r="AD120" s="236"/>
      <c r="AE120" s="236"/>
      <c r="AF120" s="206"/>
      <c r="AG120" s="206"/>
      <c r="AH120" s="206"/>
      <c r="AI120" s="1013"/>
      <c r="AJ120" s="204"/>
      <c r="AK120" s="205"/>
      <c r="AL120" s="201"/>
      <c r="AM120" s="171"/>
      <c r="AN120" s="171"/>
      <c r="AO120" s="171"/>
      <c r="AP120" s="206"/>
      <c r="AQ120" s="235"/>
      <c r="AR120" s="170"/>
      <c r="AS120" s="171"/>
      <c r="AT120" s="206"/>
      <c r="AU120" s="1013"/>
      <c r="AV120" s="23"/>
      <c r="AW120" s="23"/>
      <c r="AX120" s="23"/>
      <c r="AY120" s="237"/>
      <c r="AZ120" s="235"/>
      <c r="BA120" s="235"/>
      <c r="BB120" s="225"/>
      <c r="BC120" s="225"/>
      <c r="BD120" s="171"/>
      <c r="BE120" s="238"/>
      <c r="BF120" s="226"/>
      <c r="BG120" s="226"/>
      <c r="BH120" s="226"/>
      <c r="BI120" s="226"/>
      <c r="BJ120" s="226"/>
      <c r="BK120" s="1011"/>
      <c r="BL120" s="238"/>
      <c r="BM120" s="238"/>
      <c r="BN120" s="225"/>
      <c r="BO120" s="226"/>
      <c r="BP120" s="226"/>
      <c r="BQ120" s="226"/>
      <c r="BR120" s="226"/>
      <c r="BS120" s="238"/>
      <c r="BT120" s="238"/>
      <c r="BU120" s="226"/>
      <c r="BV120" s="238"/>
      <c r="BW120" s="238"/>
      <c r="BX120" s="239"/>
      <c r="BY120" s="1013"/>
      <c r="BZ120" s="226"/>
      <c r="CA120" s="227"/>
      <c r="CB120" s="226"/>
      <c r="CC120" s="171"/>
      <c r="CD120" s="217"/>
      <c r="CE120" s="217"/>
      <c r="CF120" s="239"/>
      <c r="CG120" s="238"/>
      <c r="CH120" s="226"/>
      <c r="CI120" s="226"/>
      <c r="CJ120" s="239"/>
      <c r="CK120" s="1013"/>
    </row>
    <row r="121" spans="8:89">
      <c r="H121" s="182"/>
      <c r="I121" s="183"/>
      <c r="J121" s="229"/>
      <c r="K121" s="185"/>
      <c r="L121" s="186"/>
      <c r="M121" s="186"/>
      <c r="N121" s="186"/>
      <c r="O121" s="187"/>
      <c r="P121" s="187"/>
      <c r="Q121" s="187"/>
      <c r="R121" s="187"/>
      <c r="S121" s="187"/>
      <c r="T121" s="189"/>
      <c r="U121" s="1010"/>
      <c r="V121" s="188"/>
      <c r="W121" s="188"/>
      <c r="X121" s="185"/>
      <c r="Y121" s="186"/>
      <c r="Z121" s="186"/>
      <c r="AA121" s="186"/>
      <c r="AB121" s="186"/>
      <c r="AC121" s="230"/>
      <c r="AD121" s="230"/>
      <c r="AE121" s="230"/>
      <c r="AF121" s="199"/>
      <c r="AG121" s="199"/>
      <c r="AH121" s="199"/>
      <c r="AI121" s="1012"/>
      <c r="AJ121" s="189"/>
      <c r="AK121" s="190"/>
      <c r="AL121" s="185"/>
      <c r="AM121" s="186"/>
      <c r="AN121" s="186"/>
      <c r="AO121" s="186"/>
      <c r="AP121" s="199"/>
      <c r="AQ121" s="229"/>
      <c r="AR121" s="198"/>
      <c r="AS121" s="186"/>
      <c r="AT121" s="199"/>
      <c r="AU121" s="1012"/>
      <c r="AV121" s="23"/>
      <c r="AW121" s="23"/>
      <c r="AX121" s="23"/>
      <c r="AY121" s="231"/>
      <c r="AZ121" s="229"/>
      <c r="BA121" s="229"/>
      <c r="BB121" s="219"/>
      <c r="BC121" s="219"/>
      <c r="BD121" s="186"/>
      <c r="BE121" s="232"/>
      <c r="BF121" s="220"/>
      <c r="BG121" s="220"/>
      <c r="BH121" s="220"/>
      <c r="BI121" s="220"/>
      <c r="BJ121" s="220"/>
      <c r="BK121" s="1010"/>
      <c r="BL121" s="232"/>
      <c r="BM121" s="232"/>
      <c r="BN121" s="219"/>
      <c r="BO121" s="220"/>
      <c r="BP121" s="220"/>
      <c r="BQ121" s="220"/>
      <c r="BR121" s="220"/>
      <c r="BS121" s="220"/>
      <c r="BT121" s="220"/>
      <c r="BU121" s="220"/>
      <c r="BV121" s="220"/>
      <c r="BW121" s="220"/>
      <c r="BX121" s="233"/>
      <c r="BY121" s="1012"/>
      <c r="BZ121" s="220"/>
      <c r="CA121" s="221"/>
      <c r="CB121" s="220"/>
      <c r="CC121" s="234"/>
      <c r="CD121" s="234"/>
      <c r="CE121" s="234"/>
      <c r="CF121" s="233"/>
      <c r="CG121" s="232"/>
      <c r="CH121" s="220"/>
      <c r="CI121" s="220"/>
      <c r="CJ121" s="233"/>
      <c r="CK121" s="1012"/>
    </row>
    <row r="122" spans="8:89">
      <c r="H122" s="182"/>
      <c r="I122" s="200"/>
      <c r="J122" s="235"/>
      <c r="K122" s="201"/>
      <c r="L122" s="171"/>
      <c r="M122" s="171"/>
      <c r="N122" s="171"/>
      <c r="O122" s="202"/>
      <c r="P122" s="202"/>
      <c r="Q122" s="202"/>
      <c r="R122" s="202"/>
      <c r="S122" s="202"/>
      <c r="T122" s="204"/>
      <c r="U122" s="1011"/>
      <c r="V122" s="203"/>
      <c r="W122" s="203"/>
      <c r="X122" s="201"/>
      <c r="Y122" s="171"/>
      <c r="Z122" s="171"/>
      <c r="AA122" s="171"/>
      <c r="AB122" s="171"/>
      <c r="AC122" s="236"/>
      <c r="AD122" s="236"/>
      <c r="AE122" s="236"/>
      <c r="AF122" s="206"/>
      <c r="AG122" s="206"/>
      <c r="AH122" s="206"/>
      <c r="AI122" s="1013"/>
      <c r="AJ122" s="204"/>
      <c r="AK122" s="205"/>
      <c r="AL122" s="201"/>
      <c r="AM122" s="171"/>
      <c r="AN122" s="171"/>
      <c r="AO122" s="171"/>
      <c r="AP122" s="206"/>
      <c r="AQ122" s="235"/>
      <c r="AR122" s="170"/>
      <c r="AS122" s="171"/>
      <c r="AT122" s="206"/>
      <c r="AU122" s="1013"/>
      <c r="AV122" s="23"/>
      <c r="AW122" s="23"/>
      <c r="AX122" s="23"/>
      <c r="AY122" s="237"/>
      <c r="AZ122" s="235"/>
      <c r="BA122" s="235"/>
      <c r="BB122" s="225"/>
      <c r="BC122" s="225"/>
      <c r="BD122" s="171"/>
      <c r="BE122" s="238"/>
      <c r="BF122" s="226"/>
      <c r="BG122" s="226"/>
      <c r="BH122" s="226"/>
      <c r="BI122" s="226"/>
      <c r="BJ122" s="226"/>
      <c r="BK122" s="1011"/>
      <c r="BL122" s="238"/>
      <c r="BM122" s="238"/>
      <c r="BN122" s="225"/>
      <c r="BO122" s="226"/>
      <c r="BP122" s="226"/>
      <c r="BQ122" s="226"/>
      <c r="BR122" s="226"/>
      <c r="BS122" s="238"/>
      <c r="BT122" s="238"/>
      <c r="BU122" s="226"/>
      <c r="BV122" s="238"/>
      <c r="BW122" s="238"/>
      <c r="BX122" s="239"/>
      <c r="BY122" s="1013"/>
      <c r="BZ122" s="226"/>
      <c r="CA122" s="227"/>
      <c r="CB122" s="226"/>
      <c r="CC122" s="171"/>
      <c r="CD122" s="217"/>
      <c r="CE122" s="217"/>
      <c r="CF122" s="239"/>
      <c r="CG122" s="238"/>
      <c r="CH122" s="223"/>
      <c r="CI122" s="226"/>
      <c r="CJ122" s="239"/>
      <c r="CK122" s="1013"/>
    </row>
    <row r="123" spans="8:89">
      <c r="H123" s="182"/>
      <c r="I123" s="183"/>
      <c r="J123" s="229"/>
      <c r="K123" s="185"/>
      <c r="L123" s="186"/>
      <c r="M123" s="186"/>
      <c r="N123" s="186"/>
      <c r="O123" s="187"/>
      <c r="P123" s="187"/>
      <c r="Q123" s="187"/>
      <c r="R123" s="187"/>
      <c r="S123" s="187"/>
      <c r="T123" s="189"/>
      <c r="U123" s="1010"/>
      <c r="V123" s="188"/>
      <c r="W123" s="188"/>
      <c r="X123" s="185"/>
      <c r="Y123" s="186"/>
      <c r="Z123" s="186"/>
      <c r="AA123" s="186"/>
      <c r="AB123" s="186"/>
      <c r="AC123" s="230"/>
      <c r="AD123" s="230"/>
      <c r="AE123" s="230"/>
      <c r="AF123" s="199"/>
      <c r="AG123" s="199"/>
      <c r="AH123" s="199"/>
      <c r="AI123" s="1012"/>
      <c r="AJ123" s="189"/>
      <c r="AK123" s="190"/>
      <c r="AL123" s="185"/>
      <c r="AM123" s="186"/>
      <c r="AN123" s="186"/>
      <c r="AO123" s="186"/>
      <c r="AP123" s="199"/>
      <c r="AQ123" s="229"/>
      <c r="AR123" s="198"/>
      <c r="AS123" s="186"/>
      <c r="AT123" s="199"/>
      <c r="AU123" s="1012"/>
      <c r="AV123" s="23"/>
      <c r="AW123" s="23"/>
      <c r="AX123" s="23"/>
      <c r="AY123" s="231"/>
      <c r="AZ123" s="229"/>
      <c r="BA123" s="229"/>
      <c r="BB123" s="219"/>
      <c r="BC123" s="219"/>
      <c r="BD123" s="186"/>
      <c r="BE123" s="232"/>
      <c r="BF123" s="220"/>
      <c r="BG123" s="220"/>
      <c r="BH123" s="220"/>
      <c r="BI123" s="220"/>
      <c r="BJ123" s="220"/>
      <c r="BK123" s="1010"/>
      <c r="BL123" s="232"/>
      <c r="BM123" s="232"/>
      <c r="BN123" s="219"/>
      <c r="BO123" s="220"/>
      <c r="BP123" s="220"/>
      <c r="BQ123" s="220"/>
      <c r="BR123" s="220"/>
      <c r="BS123" s="220"/>
      <c r="BT123" s="220"/>
      <c r="BU123" s="220"/>
      <c r="BV123" s="220"/>
      <c r="BW123" s="220"/>
      <c r="BX123" s="233"/>
      <c r="BY123" s="1012"/>
      <c r="BZ123" s="220"/>
      <c r="CA123" s="221"/>
      <c r="CB123" s="220"/>
      <c r="CC123" s="234"/>
      <c r="CD123" s="234"/>
      <c r="CE123" s="234"/>
      <c r="CF123" s="233"/>
      <c r="CG123" s="232"/>
      <c r="CH123" s="220"/>
      <c r="CI123" s="220"/>
      <c r="CJ123" s="233"/>
      <c r="CK123" s="1012"/>
    </row>
    <row r="124" spans="8:89">
      <c r="H124" s="182"/>
      <c r="I124" s="200"/>
      <c r="J124" s="235"/>
      <c r="K124" s="201"/>
      <c r="L124" s="171"/>
      <c r="M124" s="171"/>
      <c r="N124" s="171"/>
      <c r="O124" s="202"/>
      <c r="P124" s="202"/>
      <c r="Q124" s="202"/>
      <c r="R124" s="202"/>
      <c r="S124" s="202"/>
      <c r="T124" s="204"/>
      <c r="U124" s="1011"/>
      <c r="V124" s="203"/>
      <c r="W124" s="203"/>
      <c r="X124" s="201"/>
      <c r="Y124" s="171"/>
      <c r="Z124" s="171"/>
      <c r="AA124" s="171"/>
      <c r="AB124" s="171"/>
      <c r="AC124" s="236"/>
      <c r="AD124" s="236"/>
      <c r="AE124" s="236"/>
      <c r="AF124" s="206"/>
      <c r="AG124" s="206"/>
      <c r="AH124" s="206"/>
      <c r="AI124" s="1013"/>
      <c r="AJ124" s="204"/>
      <c r="AK124" s="205"/>
      <c r="AL124" s="201"/>
      <c r="AM124" s="171"/>
      <c r="AN124" s="171"/>
      <c r="AO124" s="171"/>
      <c r="AP124" s="206"/>
      <c r="AQ124" s="235"/>
      <c r="AR124" s="170"/>
      <c r="AS124" s="171"/>
      <c r="AT124" s="206"/>
      <c r="AU124" s="1013"/>
      <c r="AV124" s="23"/>
      <c r="AW124" s="23"/>
      <c r="AX124" s="23"/>
      <c r="AY124" s="237"/>
      <c r="AZ124" s="235"/>
      <c r="BA124" s="235"/>
      <c r="BB124" s="225"/>
      <c r="BC124" s="225"/>
      <c r="BD124" s="171"/>
      <c r="BE124" s="238"/>
      <c r="BF124" s="226"/>
      <c r="BG124" s="226"/>
      <c r="BH124" s="226"/>
      <c r="BI124" s="226"/>
      <c r="BJ124" s="226"/>
      <c r="BK124" s="1011"/>
      <c r="BL124" s="238"/>
      <c r="BM124" s="238"/>
      <c r="BN124" s="225"/>
      <c r="BO124" s="226"/>
      <c r="BP124" s="226"/>
      <c r="BQ124" s="226"/>
      <c r="BR124" s="226"/>
      <c r="BS124" s="238"/>
      <c r="BT124" s="238"/>
      <c r="BU124" s="226"/>
      <c r="BV124" s="238"/>
      <c r="BW124" s="238"/>
      <c r="BX124" s="239"/>
      <c r="BY124" s="1013"/>
      <c r="BZ124" s="226"/>
      <c r="CA124" s="227"/>
      <c r="CB124" s="226"/>
      <c r="CC124" s="171"/>
      <c r="CD124" s="217"/>
      <c r="CE124" s="217"/>
      <c r="CF124" s="239"/>
      <c r="CG124" s="238"/>
      <c r="CH124" s="226"/>
      <c r="CI124" s="226"/>
      <c r="CJ124" s="239"/>
      <c r="CK124" s="1013"/>
    </row>
    <row r="125" spans="8:89">
      <c r="H125" s="182"/>
      <c r="I125" s="183"/>
      <c r="J125" s="229"/>
      <c r="K125" s="185"/>
      <c r="L125" s="186"/>
      <c r="M125" s="186"/>
      <c r="N125" s="186"/>
      <c r="O125" s="187"/>
      <c r="P125" s="187"/>
      <c r="Q125" s="187"/>
      <c r="R125" s="187"/>
      <c r="S125" s="187"/>
      <c r="T125" s="189"/>
      <c r="U125" s="1010"/>
      <c r="V125" s="188"/>
      <c r="W125" s="188"/>
      <c r="X125" s="185"/>
      <c r="Y125" s="186"/>
      <c r="Z125" s="186"/>
      <c r="AA125" s="186"/>
      <c r="AB125" s="186"/>
      <c r="AC125" s="230"/>
      <c r="AD125" s="230"/>
      <c r="AE125" s="230"/>
      <c r="AF125" s="199"/>
      <c r="AG125" s="199"/>
      <c r="AH125" s="199"/>
      <c r="AI125" s="1012"/>
      <c r="AJ125" s="189"/>
      <c r="AK125" s="190"/>
      <c r="AL125" s="185"/>
      <c r="AM125" s="186"/>
      <c r="AN125" s="186"/>
      <c r="AO125" s="186"/>
      <c r="AP125" s="199"/>
      <c r="AQ125" s="229"/>
      <c r="AR125" s="198"/>
      <c r="AS125" s="186"/>
      <c r="AT125" s="199"/>
      <c r="AU125" s="1012"/>
      <c r="AV125" s="23"/>
      <c r="AW125" s="23"/>
      <c r="AX125" s="23"/>
      <c r="AY125" s="231"/>
      <c r="AZ125" s="229"/>
      <c r="BA125" s="229"/>
      <c r="BB125" s="219"/>
      <c r="BC125" s="219"/>
      <c r="BD125" s="186"/>
      <c r="BE125" s="232"/>
      <c r="BF125" s="220"/>
      <c r="BG125" s="220"/>
      <c r="BH125" s="220"/>
      <c r="BI125" s="220"/>
      <c r="BJ125" s="220"/>
      <c r="BK125" s="1010"/>
      <c r="BL125" s="232"/>
      <c r="BM125" s="232"/>
      <c r="BN125" s="219"/>
      <c r="BO125" s="220"/>
      <c r="BP125" s="220"/>
      <c r="BQ125" s="220"/>
      <c r="BR125" s="220"/>
      <c r="BS125" s="220"/>
      <c r="BT125" s="220"/>
      <c r="BU125" s="220"/>
      <c r="BV125" s="220"/>
      <c r="BW125" s="220"/>
      <c r="BX125" s="233"/>
      <c r="BY125" s="1012"/>
      <c r="BZ125" s="220"/>
      <c r="CA125" s="221"/>
      <c r="CB125" s="220"/>
      <c r="CC125" s="234"/>
      <c r="CD125" s="234"/>
      <c r="CE125" s="234"/>
      <c r="CF125" s="233"/>
      <c r="CG125" s="232"/>
      <c r="CH125" s="220"/>
      <c r="CI125" s="220"/>
      <c r="CJ125" s="233"/>
      <c r="CK125" s="1012"/>
    </row>
    <row r="126" spans="8:89">
      <c r="H126" s="182"/>
      <c r="I126" s="200"/>
      <c r="J126" s="235"/>
      <c r="K126" s="201"/>
      <c r="L126" s="171"/>
      <c r="M126" s="171"/>
      <c r="N126" s="171"/>
      <c r="O126" s="202"/>
      <c r="P126" s="202"/>
      <c r="Q126" s="202"/>
      <c r="R126" s="202"/>
      <c r="S126" s="202"/>
      <c r="T126" s="204"/>
      <c r="U126" s="1011"/>
      <c r="V126" s="203"/>
      <c r="W126" s="203"/>
      <c r="X126" s="201"/>
      <c r="Y126" s="171"/>
      <c r="Z126" s="171"/>
      <c r="AA126" s="171"/>
      <c r="AB126" s="171"/>
      <c r="AC126" s="236"/>
      <c r="AD126" s="236"/>
      <c r="AE126" s="236"/>
      <c r="AF126" s="206"/>
      <c r="AG126" s="206"/>
      <c r="AH126" s="206"/>
      <c r="AI126" s="1013"/>
      <c r="AJ126" s="204"/>
      <c r="AK126" s="205"/>
      <c r="AL126" s="201"/>
      <c r="AM126" s="171"/>
      <c r="AN126" s="171"/>
      <c r="AO126" s="171"/>
      <c r="AP126" s="206"/>
      <c r="AQ126" s="235"/>
      <c r="AR126" s="170"/>
      <c r="AS126" s="171"/>
      <c r="AT126" s="206"/>
      <c r="AU126" s="1013"/>
      <c r="AV126" s="23"/>
      <c r="AW126" s="23"/>
      <c r="AX126" s="23"/>
      <c r="AY126" s="237"/>
      <c r="AZ126" s="235"/>
      <c r="BA126" s="235"/>
      <c r="BB126" s="225"/>
      <c r="BC126" s="225"/>
      <c r="BD126" s="171"/>
      <c r="BE126" s="238"/>
      <c r="BF126" s="226"/>
      <c r="BG126" s="226"/>
      <c r="BH126" s="226"/>
      <c r="BI126" s="226"/>
      <c r="BJ126" s="226"/>
      <c r="BK126" s="1011"/>
      <c r="BL126" s="238"/>
      <c r="BM126" s="238"/>
      <c r="BN126" s="225"/>
      <c r="BO126" s="226"/>
      <c r="BP126" s="226"/>
      <c r="BQ126" s="226"/>
      <c r="BR126" s="226"/>
      <c r="BS126" s="238"/>
      <c r="BT126" s="238"/>
      <c r="BU126" s="226"/>
      <c r="BV126" s="238"/>
      <c r="BW126" s="238"/>
      <c r="BX126" s="239"/>
      <c r="BY126" s="1013"/>
      <c r="BZ126" s="226"/>
      <c r="CA126" s="227"/>
      <c r="CB126" s="226"/>
      <c r="CC126" s="171"/>
      <c r="CD126" s="217"/>
      <c r="CE126" s="217"/>
      <c r="CF126" s="239"/>
      <c r="CG126" s="238"/>
      <c r="CH126" s="226"/>
      <c r="CI126" s="226"/>
      <c r="CJ126" s="239"/>
      <c r="CK126" s="1013"/>
    </row>
    <row r="127" spans="8:89">
      <c r="H127" s="182"/>
      <c r="I127" s="183"/>
      <c r="J127" s="229"/>
      <c r="K127" s="185"/>
      <c r="L127" s="186"/>
      <c r="M127" s="186"/>
      <c r="N127" s="186"/>
      <c r="O127" s="187"/>
      <c r="P127" s="187"/>
      <c r="Q127" s="187"/>
      <c r="R127" s="187"/>
      <c r="S127" s="187"/>
      <c r="T127" s="189"/>
      <c r="U127" s="1010"/>
      <c r="V127" s="188"/>
      <c r="W127" s="188"/>
      <c r="X127" s="185"/>
      <c r="Y127" s="186"/>
      <c r="Z127" s="186"/>
      <c r="AA127" s="186"/>
      <c r="AB127" s="186"/>
      <c r="AC127" s="230"/>
      <c r="AD127" s="230"/>
      <c r="AE127" s="230"/>
      <c r="AF127" s="199"/>
      <c r="AG127" s="199"/>
      <c r="AH127" s="199"/>
      <c r="AI127" s="1012"/>
      <c r="AJ127" s="189"/>
      <c r="AK127" s="190"/>
      <c r="AL127" s="185"/>
      <c r="AM127" s="186"/>
      <c r="AN127" s="186"/>
      <c r="AO127" s="186"/>
      <c r="AP127" s="199"/>
      <c r="AQ127" s="229"/>
      <c r="AR127" s="198"/>
      <c r="AS127" s="186"/>
      <c r="AT127" s="199"/>
      <c r="AU127" s="1012"/>
      <c r="AV127" s="23"/>
      <c r="AW127" s="23"/>
      <c r="AX127" s="23"/>
      <c r="AY127" s="231"/>
      <c r="AZ127" s="229"/>
      <c r="BA127" s="229"/>
      <c r="BB127" s="219"/>
      <c r="BC127" s="219"/>
      <c r="BD127" s="186"/>
      <c r="BE127" s="232"/>
      <c r="BF127" s="220"/>
      <c r="BG127" s="220"/>
      <c r="BH127" s="220"/>
      <c r="BI127" s="220"/>
      <c r="BJ127" s="220"/>
      <c r="BK127" s="1010"/>
      <c r="BL127" s="232"/>
      <c r="BM127" s="232"/>
      <c r="BN127" s="219"/>
      <c r="BO127" s="220"/>
      <c r="BP127" s="220"/>
      <c r="BQ127" s="220"/>
      <c r="BR127" s="220"/>
      <c r="BS127" s="220"/>
      <c r="BT127" s="220"/>
      <c r="BU127" s="220"/>
      <c r="BV127" s="220"/>
      <c r="BW127" s="220"/>
      <c r="BX127" s="233"/>
      <c r="BY127" s="1012"/>
      <c r="BZ127" s="220"/>
      <c r="CA127" s="221"/>
      <c r="CB127" s="220"/>
      <c r="CC127" s="234"/>
      <c r="CD127" s="234"/>
      <c r="CE127" s="234"/>
      <c r="CF127" s="233"/>
      <c r="CG127" s="232"/>
      <c r="CH127" s="220"/>
      <c r="CI127" s="220"/>
      <c r="CJ127" s="233"/>
      <c r="CK127" s="1012"/>
    </row>
    <row r="128" spans="8:89">
      <c r="H128" s="182"/>
      <c r="I128" s="200"/>
      <c r="J128" s="235"/>
      <c r="K128" s="201"/>
      <c r="L128" s="171"/>
      <c r="M128" s="171"/>
      <c r="N128" s="171"/>
      <c r="O128" s="202"/>
      <c r="P128" s="202"/>
      <c r="Q128" s="202"/>
      <c r="R128" s="202"/>
      <c r="S128" s="202"/>
      <c r="T128" s="204"/>
      <c r="U128" s="1011"/>
      <c r="V128" s="203"/>
      <c r="W128" s="203"/>
      <c r="X128" s="201"/>
      <c r="Y128" s="171"/>
      <c r="Z128" s="171"/>
      <c r="AA128" s="171"/>
      <c r="AB128" s="171"/>
      <c r="AC128" s="236"/>
      <c r="AD128" s="236"/>
      <c r="AE128" s="236"/>
      <c r="AF128" s="206"/>
      <c r="AG128" s="206"/>
      <c r="AH128" s="206"/>
      <c r="AI128" s="1013"/>
      <c r="AJ128" s="204"/>
      <c r="AK128" s="205"/>
      <c r="AL128" s="201"/>
      <c r="AM128" s="171"/>
      <c r="AN128" s="171"/>
      <c r="AO128" s="171"/>
      <c r="AP128" s="206"/>
      <c r="AQ128" s="235"/>
      <c r="AR128" s="170"/>
      <c r="AS128" s="171"/>
      <c r="AT128" s="206"/>
      <c r="AU128" s="1013"/>
      <c r="AV128" s="23"/>
      <c r="AW128" s="23"/>
      <c r="AX128" s="23"/>
      <c r="AY128" s="237"/>
      <c r="AZ128" s="235"/>
      <c r="BA128" s="235"/>
      <c r="BB128" s="225"/>
      <c r="BC128" s="225"/>
      <c r="BD128" s="171"/>
      <c r="BE128" s="238"/>
      <c r="BF128" s="226"/>
      <c r="BG128" s="226"/>
      <c r="BH128" s="226"/>
      <c r="BI128" s="226"/>
      <c r="BJ128" s="226"/>
      <c r="BK128" s="1011"/>
      <c r="BL128" s="238"/>
      <c r="BM128" s="238"/>
      <c r="BN128" s="225"/>
      <c r="BO128" s="226"/>
      <c r="BP128" s="226"/>
      <c r="BQ128" s="226"/>
      <c r="BR128" s="226"/>
      <c r="BS128" s="238"/>
      <c r="BT128" s="238"/>
      <c r="BU128" s="226"/>
      <c r="BV128" s="238"/>
      <c r="BW128" s="238"/>
      <c r="BX128" s="239"/>
      <c r="BY128" s="1013"/>
      <c r="BZ128" s="226"/>
      <c r="CA128" s="227"/>
      <c r="CB128" s="226"/>
      <c r="CC128" s="171"/>
      <c r="CD128" s="217"/>
      <c r="CE128" s="217"/>
      <c r="CF128" s="239"/>
      <c r="CG128" s="238"/>
      <c r="CH128" s="223"/>
      <c r="CI128" s="226"/>
      <c r="CJ128" s="239"/>
      <c r="CK128" s="1013"/>
    </row>
    <row r="129" spans="8:89">
      <c r="H129" s="182"/>
      <c r="I129" s="183"/>
      <c r="J129" s="229"/>
      <c r="K129" s="185"/>
      <c r="L129" s="186"/>
      <c r="M129" s="186"/>
      <c r="N129" s="186"/>
      <c r="O129" s="187"/>
      <c r="P129" s="187"/>
      <c r="Q129" s="187"/>
      <c r="R129" s="187"/>
      <c r="S129" s="187"/>
      <c r="T129" s="189"/>
      <c r="U129" s="1010"/>
      <c r="V129" s="188"/>
      <c r="W129" s="188"/>
      <c r="X129" s="185"/>
      <c r="Y129" s="186"/>
      <c r="Z129" s="186"/>
      <c r="AA129" s="186"/>
      <c r="AB129" s="186"/>
      <c r="AC129" s="230"/>
      <c r="AD129" s="230"/>
      <c r="AE129" s="230"/>
      <c r="AF129" s="199"/>
      <c r="AG129" s="199"/>
      <c r="AH129" s="199"/>
      <c r="AI129" s="1012"/>
      <c r="AJ129" s="189"/>
      <c r="AK129" s="190"/>
      <c r="AL129" s="185"/>
      <c r="AM129" s="186"/>
      <c r="AN129" s="186"/>
      <c r="AO129" s="186"/>
      <c r="AP129" s="199"/>
      <c r="AQ129" s="229"/>
      <c r="AR129" s="198"/>
      <c r="AS129" s="186"/>
      <c r="AT129" s="199"/>
      <c r="AU129" s="1012"/>
      <c r="AV129" s="23"/>
      <c r="AW129" s="23"/>
      <c r="AX129" s="23"/>
      <c r="AY129" s="231"/>
      <c r="AZ129" s="229"/>
      <c r="BA129" s="229"/>
      <c r="BB129" s="219"/>
      <c r="BC129" s="219"/>
      <c r="BD129" s="186"/>
      <c r="BE129" s="232"/>
      <c r="BF129" s="220"/>
      <c r="BG129" s="220"/>
      <c r="BH129" s="220"/>
      <c r="BI129" s="220"/>
      <c r="BJ129" s="220"/>
      <c r="BK129" s="1010"/>
      <c r="BL129" s="232"/>
      <c r="BM129" s="232"/>
      <c r="BN129" s="219"/>
      <c r="BO129" s="220"/>
      <c r="BP129" s="220"/>
      <c r="BQ129" s="220"/>
      <c r="BR129" s="220"/>
      <c r="BS129" s="220"/>
      <c r="BT129" s="220"/>
      <c r="BU129" s="220"/>
      <c r="BV129" s="220"/>
      <c r="BW129" s="220"/>
      <c r="BX129" s="233"/>
      <c r="BY129" s="1012"/>
      <c r="BZ129" s="220"/>
      <c r="CA129" s="221"/>
      <c r="CB129" s="220"/>
      <c r="CC129" s="234"/>
      <c r="CD129" s="234"/>
      <c r="CE129" s="234"/>
      <c r="CF129" s="233"/>
      <c r="CG129" s="232"/>
      <c r="CH129" s="220"/>
      <c r="CI129" s="220"/>
      <c r="CJ129" s="233"/>
      <c r="CK129" s="1012"/>
    </row>
    <row r="130" spans="8:89">
      <c r="H130" s="182"/>
      <c r="I130" s="200"/>
      <c r="J130" s="235"/>
      <c r="K130" s="201"/>
      <c r="L130" s="171"/>
      <c r="M130" s="171"/>
      <c r="N130" s="171"/>
      <c r="O130" s="202"/>
      <c r="P130" s="202"/>
      <c r="Q130" s="202"/>
      <c r="R130" s="202"/>
      <c r="S130" s="202"/>
      <c r="T130" s="204"/>
      <c r="U130" s="1011"/>
      <c r="V130" s="203"/>
      <c r="W130" s="203"/>
      <c r="X130" s="201"/>
      <c r="Y130" s="171"/>
      <c r="Z130" s="171"/>
      <c r="AA130" s="171"/>
      <c r="AB130" s="171"/>
      <c r="AC130" s="236"/>
      <c r="AD130" s="236"/>
      <c r="AE130" s="236"/>
      <c r="AF130" s="206"/>
      <c r="AG130" s="206"/>
      <c r="AH130" s="206"/>
      <c r="AI130" s="1013"/>
      <c r="AJ130" s="204"/>
      <c r="AK130" s="205"/>
      <c r="AL130" s="201"/>
      <c r="AM130" s="171"/>
      <c r="AN130" s="171"/>
      <c r="AO130" s="171"/>
      <c r="AP130" s="206"/>
      <c r="AQ130" s="235"/>
      <c r="AR130" s="170"/>
      <c r="AS130" s="171"/>
      <c r="AT130" s="206"/>
      <c r="AU130" s="1013"/>
      <c r="AV130" s="23"/>
      <c r="AW130" s="23"/>
      <c r="AX130" s="23"/>
      <c r="AY130" s="240"/>
      <c r="AZ130" s="181"/>
      <c r="BA130" s="181"/>
      <c r="BB130" s="222"/>
      <c r="BC130" s="222"/>
      <c r="BD130" s="174"/>
      <c r="BE130" s="241"/>
      <c r="BF130" s="223"/>
      <c r="BG130" s="223"/>
      <c r="BH130" s="223"/>
      <c r="BI130" s="223"/>
      <c r="BJ130" s="223"/>
      <c r="BK130" s="1011"/>
      <c r="BL130" s="241"/>
      <c r="BM130" s="241"/>
      <c r="BN130" s="222"/>
      <c r="BO130" s="223"/>
      <c r="BP130" s="223"/>
      <c r="BQ130" s="223"/>
      <c r="BR130" s="223"/>
      <c r="BS130" s="241"/>
      <c r="BT130" s="241"/>
      <c r="BU130" s="223"/>
      <c r="BV130" s="241"/>
      <c r="BW130" s="241"/>
      <c r="BX130" s="242"/>
      <c r="BY130" s="1013"/>
      <c r="BZ130" s="223"/>
      <c r="CA130" s="224"/>
      <c r="CB130" s="223"/>
      <c r="CC130" s="174"/>
      <c r="CD130" s="243"/>
      <c r="CE130" s="243"/>
      <c r="CF130" s="242"/>
      <c r="CG130" s="241"/>
      <c r="CH130" s="226"/>
      <c r="CI130" s="223"/>
      <c r="CJ130" s="242"/>
      <c r="CK130" s="1013"/>
    </row>
    <row r="131" spans="8:89">
      <c r="H131" s="182"/>
      <c r="I131" s="183"/>
      <c r="J131" s="229"/>
      <c r="K131" s="185"/>
      <c r="L131" s="186"/>
      <c r="M131" s="186"/>
      <c r="N131" s="186"/>
      <c r="O131" s="187"/>
      <c r="P131" s="187"/>
      <c r="Q131" s="187"/>
      <c r="R131" s="187"/>
      <c r="S131" s="187"/>
      <c r="T131" s="189"/>
      <c r="U131" s="1010"/>
      <c r="V131" s="188"/>
      <c r="W131" s="188"/>
      <c r="X131" s="185"/>
      <c r="Y131" s="186"/>
      <c r="Z131" s="186"/>
      <c r="AA131" s="186"/>
      <c r="AB131" s="186"/>
      <c r="AC131" s="230"/>
      <c r="AD131" s="230"/>
      <c r="AE131" s="230"/>
      <c r="AF131" s="199"/>
      <c r="AG131" s="199"/>
      <c r="AH131" s="199"/>
      <c r="AI131" s="1012"/>
      <c r="AJ131" s="189"/>
      <c r="AK131" s="190"/>
      <c r="AL131" s="185"/>
      <c r="AM131" s="186"/>
      <c r="AN131" s="186"/>
      <c r="AO131" s="186"/>
      <c r="AP131" s="199"/>
      <c r="AQ131" s="229"/>
      <c r="AR131" s="198"/>
      <c r="AS131" s="186"/>
      <c r="AT131" s="199"/>
      <c r="AU131" s="1012"/>
      <c r="AV131" s="23"/>
      <c r="AW131" s="23"/>
      <c r="AX131" s="23"/>
      <c r="AY131" s="231"/>
      <c r="AZ131" s="229"/>
      <c r="BA131" s="229"/>
      <c r="BB131" s="219"/>
      <c r="BC131" s="219"/>
      <c r="BD131" s="186"/>
      <c r="BE131" s="232"/>
      <c r="BF131" s="220"/>
      <c r="BG131" s="220"/>
      <c r="BH131" s="220"/>
      <c r="BI131" s="220"/>
      <c r="BJ131" s="220"/>
      <c r="BK131" s="1010"/>
      <c r="BL131" s="232"/>
      <c r="BM131" s="232"/>
      <c r="BN131" s="219"/>
      <c r="BO131" s="220"/>
      <c r="BP131" s="220"/>
      <c r="BQ131" s="220"/>
      <c r="BR131" s="220"/>
      <c r="BS131" s="220"/>
      <c r="BT131" s="220"/>
      <c r="BU131" s="220"/>
      <c r="BV131" s="220"/>
      <c r="BW131" s="220"/>
      <c r="BX131" s="233"/>
      <c r="BY131" s="1012"/>
      <c r="BZ131" s="220"/>
      <c r="CA131" s="221"/>
      <c r="CB131" s="220"/>
      <c r="CC131" s="234"/>
      <c r="CD131" s="234"/>
      <c r="CE131" s="234"/>
      <c r="CF131" s="233"/>
      <c r="CG131" s="232"/>
      <c r="CH131" s="220"/>
      <c r="CI131" s="220"/>
      <c r="CJ131" s="233"/>
      <c r="CK131" s="1012"/>
    </row>
    <row r="132" spans="8:89">
      <c r="H132" s="182"/>
      <c r="I132" s="200"/>
      <c r="J132" s="235"/>
      <c r="K132" s="201"/>
      <c r="L132" s="171"/>
      <c r="M132" s="171"/>
      <c r="N132" s="171"/>
      <c r="O132" s="202"/>
      <c r="P132" s="202"/>
      <c r="Q132" s="202"/>
      <c r="R132" s="202"/>
      <c r="S132" s="202"/>
      <c r="T132" s="204"/>
      <c r="U132" s="1011"/>
      <c r="V132" s="203"/>
      <c r="W132" s="203"/>
      <c r="X132" s="201"/>
      <c r="Y132" s="171"/>
      <c r="Z132" s="171"/>
      <c r="AA132" s="171"/>
      <c r="AB132" s="171"/>
      <c r="AC132" s="236"/>
      <c r="AD132" s="236"/>
      <c r="AE132" s="236"/>
      <c r="AF132" s="206"/>
      <c r="AG132" s="206"/>
      <c r="AH132" s="206"/>
      <c r="AI132" s="1013"/>
      <c r="AJ132" s="204"/>
      <c r="AK132" s="205"/>
      <c r="AL132" s="201"/>
      <c r="AM132" s="171"/>
      <c r="AN132" s="171"/>
      <c r="AO132" s="171"/>
      <c r="AP132" s="206"/>
      <c r="AQ132" s="235"/>
      <c r="AR132" s="170"/>
      <c r="AS132" s="171"/>
      <c r="AT132" s="206"/>
      <c r="AU132" s="1013"/>
      <c r="AV132" s="23"/>
      <c r="AW132" s="23"/>
      <c r="AX132" s="23"/>
      <c r="AY132" s="237"/>
      <c r="AZ132" s="235"/>
      <c r="BA132" s="235"/>
      <c r="BB132" s="225"/>
      <c r="BC132" s="225"/>
      <c r="BD132" s="171"/>
      <c r="BE132" s="238"/>
      <c r="BF132" s="226"/>
      <c r="BG132" s="226"/>
      <c r="BH132" s="226"/>
      <c r="BI132" s="226"/>
      <c r="BJ132" s="226"/>
      <c r="BK132" s="1011"/>
      <c r="BL132" s="238"/>
      <c r="BM132" s="238"/>
      <c r="BN132" s="225"/>
      <c r="BO132" s="226"/>
      <c r="BP132" s="226"/>
      <c r="BQ132" s="226"/>
      <c r="BR132" s="226"/>
      <c r="BS132" s="238"/>
      <c r="BT132" s="238"/>
      <c r="BU132" s="226"/>
      <c r="BV132" s="238"/>
      <c r="BW132" s="238"/>
      <c r="BX132" s="239"/>
      <c r="BY132" s="1013"/>
      <c r="BZ132" s="226"/>
      <c r="CA132" s="227"/>
      <c r="CB132" s="226"/>
      <c r="CC132" s="171"/>
      <c r="CD132" s="217"/>
      <c r="CE132" s="217"/>
      <c r="CF132" s="239"/>
      <c r="CG132" s="238"/>
      <c r="CH132" s="223"/>
      <c r="CI132" s="226"/>
      <c r="CJ132" s="239"/>
      <c r="CK132" s="1013"/>
    </row>
    <row r="133" spans="8:89">
      <c r="H133" s="182"/>
      <c r="I133" s="183"/>
      <c r="J133" s="229"/>
      <c r="K133" s="185"/>
      <c r="L133" s="186"/>
      <c r="M133" s="186"/>
      <c r="N133" s="186"/>
      <c r="O133" s="187"/>
      <c r="P133" s="187"/>
      <c r="Q133" s="187"/>
      <c r="R133" s="187"/>
      <c r="S133" s="187"/>
      <c r="T133" s="189"/>
      <c r="U133" s="1010"/>
      <c r="V133" s="188"/>
      <c r="W133" s="188"/>
      <c r="X133" s="185"/>
      <c r="Y133" s="186"/>
      <c r="Z133" s="186"/>
      <c r="AA133" s="186"/>
      <c r="AB133" s="186"/>
      <c r="AC133" s="230"/>
      <c r="AD133" s="230"/>
      <c r="AE133" s="230"/>
      <c r="AF133" s="199"/>
      <c r="AG133" s="199"/>
      <c r="AH133" s="199"/>
      <c r="AI133" s="1012"/>
      <c r="AJ133" s="189"/>
      <c r="AK133" s="190"/>
      <c r="AL133" s="185"/>
      <c r="AM133" s="186"/>
      <c r="AN133" s="186"/>
      <c r="AO133" s="186"/>
      <c r="AP133" s="199"/>
      <c r="AQ133" s="229"/>
      <c r="AR133" s="198"/>
      <c r="AS133" s="186"/>
      <c r="AT133" s="199"/>
      <c r="AU133" s="1012"/>
      <c r="AV133" s="23"/>
      <c r="AW133" s="23"/>
      <c r="AX133" s="23"/>
      <c r="AY133" s="231"/>
      <c r="AZ133" s="229"/>
      <c r="BA133" s="229"/>
      <c r="BB133" s="219"/>
      <c r="BC133" s="219"/>
      <c r="BD133" s="186"/>
      <c r="BE133" s="232"/>
      <c r="BF133" s="220"/>
      <c r="BG133" s="220"/>
      <c r="BH133" s="220"/>
      <c r="BI133" s="220"/>
      <c r="BJ133" s="220"/>
      <c r="BK133" s="1010"/>
      <c r="BL133" s="232"/>
      <c r="BM133" s="232"/>
      <c r="BN133" s="219"/>
      <c r="BO133" s="220"/>
      <c r="BP133" s="220"/>
      <c r="BQ133" s="220"/>
      <c r="BR133" s="220"/>
      <c r="BS133" s="220"/>
      <c r="BT133" s="220"/>
      <c r="BU133" s="220"/>
      <c r="BV133" s="220"/>
      <c r="BW133" s="220"/>
      <c r="BX133" s="233"/>
      <c r="BY133" s="1012"/>
      <c r="BZ133" s="220"/>
      <c r="CA133" s="221"/>
      <c r="CB133" s="220"/>
      <c r="CC133" s="234"/>
      <c r="CD133" s="234"/>
      <c r="CE133" s="234"/>
      <c r="CF133" s="233"/>
      <c r="CG133" s="232"/>
      <c r="CH133" s="220"/>
      <c r="CI133" s="220"/>
      <c r="CJ133" s="233"/>
      <c r="CK133" s="1012"/>
    </row>
    <row r="134" spans="8:89">
      <c r="H134" s="182"/>
      <c r="I134" s="200"/>
      <c r="J134" s="235"/>
      <c r="K134" s="201"/>
      <c r="L134" s="171"/>
      <c r="M134" s="171"/>
      <c r="N134" s="171"/>
      <c r="O134" s="202"/>
      <c r="P134" s="202"/>
      <c r="Q134" s="202"/>
      <c r="R134" s="202"/>
      <c r="S134" s="202"/>
      <c r="T134" s="204"/>
      <c r="U134" s="1011"/>
      <c r="V134" s="203"/>
      <c r="W134" s="203"/>
      <c r="X134" s="201"/>
      <c r="Y134" s="171"/>
      <c r="Z134" s="171"/>
      <c r="AA134" s="171"/>
      <c r="AB134" s="171"/>
      <c r="AC134" s="236"/>
      <c r="AD134" s="236"/>
      <c r="AE134" s="236"/>
      <c r="AF134" s="206"/>
      <c r="AG134" s="206"/>
      <c r="AH134" s="206"/>
      <c r="AI134" s="1013"/>
      <c r="AJ134" s="204"/>
      <c r="AK134" s="205"/>
      <c r="AL134" s="201"/>
      <c r="AM134" s="171"/>
      <c r="AN134" s="171"/>
      <c r="AO134" s="171"/>
      <c r="AP134" s="206"/>
      <c r="AQ134" s="235"/>
      <c r="AR134" s="170"/>
      <c r="AS134" s="171"/>
      <c r="AT134" s="206"/>
      <c r="AU134" s="1013"/>
      <c r="AV134" s="23"/>
      <c r="AW134" s="23"/>
      <c r="AX134" s="23"/>
      <c r="AY134" s="237"/>
      <c r="AZ134" s="235"/>
      <c r="BA134" s="235"/>
      <c r="BB134" s="225"/>
      <c r="BC134" s="225"/>
      <c r="BD134" s="171"/>
      <c r="BE134" s="238"/>
      <c r="BF134" s="226"/>
      <c r="BG134" s="226"/>
      <c r="BH134" s="226"/>
      <c r="BI134" s="226"/>
      <c r="BJ134" s="226"/>
      <c r="BK134" s="1011"/>
      <c r="BL134" s="238"/>
      <c r="BM134" s="238"/>
      <c r="BN134" s="225"/>
      <c r="BO134" s="226"/>
      <c r="BP134" s="226"/>
      <c r="BQ134" s="226"/>
      <c r="BR134" s="226"/>
      <c r="BS134" s="238"/>
      <c r="BT134" s="238"/>
      <c r="BU134" s="226"/>
      <c r="BV134" s="238"/>
      <c r="BW134" s="238"/>
      <c r="BX134" s="239"/>
      <c r="BY134" s="1013"/>
      <c r="BZ134" s="226"/>
      <c r="CA134" s="227"/>
      <c r="CB134" s="226"/>
      <c r="CC134" s="171"/>
      <c r="CD134" s="217"/>
      <c r="CE134" s="217"/>
      <c r="CF134" s="239"/>
      <c r="CG134" s="238"/>
      <c r="CH134" s="226"/>
      <c r="CI134" s="226"/>
      <c r="CJ134" s="239"/>
      <c r="CK134" s="1013"/>
    </row>
    <row r="135" spans="8:89">
      <c r="H135" s="182"/>
      <c r="I135" s="183"/>
      <c r="J135" s="229"/>
      <c r="K135" s="185"/>
      <c r="L135" s="186"/>
      <c r="M135" s="186"/>
      <c r="N135" s="186"/>
      <c r="O135" s="187"/>
      <c r="P135" s="187"/>
      <c r="Q135" s="187"/>
      <c r="R135" s="187"/>
      <c r="S135" s="187"/>
      <c r="T135" s="189"/>
      <c r="U135" s="1010"/>
      <c r="V135" s="188"/>
      <c r="W135" s="188"/>
      <c r="X135" s="185"/>
      <c r="Y135" s="186"/>
      <c r="Z135" s="186"/>
      <c r="AA135" s="186"/>
      <c r="AB135" s="186"/>
      <c r="AC135" s="230"/>
      <c r="AD135" s="230"/>
      <c r="AE135" s="230"/>
      <c r="AF135" s="199"/>
      <c r="AG135" s="199"/>
      <c r="AH135" s="199"/>
      <c r="AI135" s="1012"/>
      <c r="AJ135" s="189"/>
      <c r="AK135" s="190"/>
      <c r="AL135" s="185"/>
      <c r="AM135" s="186"/>
      <c r="AN135" s="186"/>
      <c r="AO135" s="186"/>
      <c r="AP135" s="199"/>
      <c r="AQ135" s="229"/>
      <c r="AR135" s="198"/>
      <c r="AS135" s="186"/>
      <c r="AT135" s="199"/>
      <c r="AU135" s="1012"/>
      <c r="AV135" s="23"/>
      <c r="AW135" s="23"/>
      <c r="AX135" s="23"/>
      <c r="AY135" s="231"/>
      <c r="AZ135" s="229"/>
      <c r="BA135" s="229"/>
      <c r="BB135" s="219"/>
      <c r="BC135" s="219"/>
      <c r="BD135" s="186"/>
      <c r="BE135" s="232"/>
      <c r="BF135" s="220"/>
      <c r="BG135" s="220"/>
      <c r="BH135" s="220"/>
      <c r="BI135" s="220"/>
      <c r="BJ135" s="220"/>
      <c r="BK135" s="1010"/>
      <c r="BL135" s="232"/>
      <c r="BM135" s="232"/>
      <c r="BN135" s="219"/>
      <c r="BO135" s="220"/>
      <c r="BP135" s="220"/>
      <c r="BQ135" s="220"/>
      <c r="BR135" s="220"/>
      <c r="BS135" s="220"/>
      <c r="BT135" s="220"/>
      <c r="BU135" s="220"/>
      <c r="BV135" s="220"/>
      <c r="BW135" s="220"/>
      <c r="BX135" s="233"/>
      <c r="BY135" s="1012"/>
      <c r="BZ135" s="220"/>
      <c r="CA135" s="221"/>
      <c r="CB135" s="220"/>
      <c r="CC135" s="234"/>
      <c r="CD135" s="234"/>
      <c r="CE135" s="234"/>
      <c r="CF135" s="233"/>
      <c r="CG135" s="232"/>
      <c r="CH135" s="220"/>
      <c r="CI135" s="220"/>
      <c r="CJ135" s="233"/>
      <c r="CK135" s="1012"/>
    </row>
    <row r="136" spans="8:89">
      <c r="H136" s="182"/>
      <c r="I136" s="200"/>
      <c r="J136" s="235"/>
      <c r="K136" s="201"/>
      <c r="L136" s="171"/>
      <c r="M136" s="171"/>
      <c r="N136" s="171"/>
      <c r="O136" s="202"/>
      <c r="P136" s="202"/>
      <c r="Q136" s="202"/>
      <c r="R136" s="202"/>
      <c r="S136" s="202"/>
      <c r="T136" s="204"/>
      <c r="U136" s="1011"/>
      <c r="V136" s="203"/>
      <c r="W136" s="203"/>
      <c r="X136" s="201"/>
      <c r="Y136" s="171"/>
      <c r="Z136" s="171"/>
      <c r="AA136" s="171"/>
      <c r="AB136" s="171"/>
      <c r="AC136" s="236"/>
      <c r="AD136" s="236"/>
      <c r="AE136" s="236"/>
      <c r="AF136" s="206"/>
      <c r="AG136" s="206"/>
      <c r="AH136" s="206"/>
      <c r="AI136" s="1013"/>
      <c r="AJ136" s="204"/>
      <c r="AK136" s="205"/>
      <c r="AL136" s="201"/>
      <c r="AM136" s="171"/>
      <c r="AN136" s="171"/>
      <c r="AO136" s="171"/>
      <c r="AP136" s="206"/>
      <c r="AQ136" s="235"/>
      <c r="AR136" s="170"/>
      <c r="AS136" s="171"/>
      <c r="AT136" s="206"/>
      <c r="AU136" s="1013"/>
      <c r="AV136" s="23"/>
      <c r="AW136" s="23"/>
      <c r="AX136" s="23"/>
      <c r="AY136" s="237"/>
      <c r="AZ136" s="235"/>
      <c r="BA136" s="235"/>
      <c r="BB136" s="225"/>
      <c r="BC136" s="225"/>
      <c r="BD136" s="171"/>
      <c r="BE136" s="238"/>
      <c r="BF136" s="226"/>
      <c r="BG136" s="226"/>
      <c r="BH136" s="226"/>
      <c r="BI136" s="226"/>
      <c r="BJ136" s="226"/>
      <c r="BK136" s="1011"/>
      <c r="BL136" s="238"/>
      <c r="BM136" s="238"/>
      <c r="BN136" s="225"/>
      <c r="BO136" s="226"/>
      <c r="BP136" s="226"/>
      <c r="BQ136" s="226"/>
      <c r="BR136" s="226"/>
      <c r="BS136" s="238"/>
      <c r="BT136" s="238"/>
      <c r="BU136" s="226"/>
      <c r="BV136" s="238"/>
      <c r="BW136" s="238"/>
      <c r="BX136" s="239"/>
      <c r="BY136" s="1013"/>
      <c r="BZ136" s="226"/>
      <c r="CA136" s="227"/>
      <c r="CB136" s="226"/>
      <c r="CC136" s="171"/>
      <c r="CD136" s="217"/>
      <c r="CE136" s="217"/>
      <c r="CF136" s="239"/>
      <c r="CG136" s="238"/>
      <c r="CH136" s="223"/>
      <c r="CI136" s="226"/>
      <c r="CJ136" s="239"/>
      <c r="CK136" s="1013"/>
    </row>
    <row r="137" spans="8:89">
      <c r="H137" s="182"/>
      <c r="I137" s="183"/>
      <c r="J137" s="229"/>
      <c r="K137" s="185"/>
      <c r="L137" s="186"/>
      <c r="M137" s="186"/>
      <c r="N137" s="186"/>
      <c r="O137" s="187"/>
      <c r="P137" s="187"/>
      <c r="Q137" s="187"/>
      <c r="R137" s="187"/>
      <c r="S137" s="187"/>
      <c r="T137" s="189"/>
      <c r="U137" s="1010"/>
      <c r="V137" s="188"/>
      <c r="W137" s="188"/>
      <c r="X137" s="185"/>
      <c r="Y137" s="186"/>
      <c r="Z137" s="186"/>
      <c r="AA137" s="186"/>
      <c r="AB137" s="186"/>
      <c r="AC137" s="230"/>
      <c r="AD137" s="230"/>
      <c r="AE137" s="230"/>
      <c r="AF137" s="199"/>
      <c r="AG137" s="199"/>
      <c r="AH137" s="199"/>
      <c r="AI137" s="1012"/>
      <c r="AJ137" s="189"/>
      <c r="AK137" s="190"/>
      <c r="AL137" s="185"/>
      <c r="AM137" s="186"/>
      <c r="AN137" s="186"/>
      <c r="AO137" s="186"/>
      <c r="AP137" s="199"/>
      <c r="AQ137" s="229"/>
      <c r="AR137" s="198"/>
      <c r="AS137" s="186"/>
      <c r="AT137" s="199"/>
      <c r="AU137" s="1012"/>
      <c r="AV137" s="23"/>
      <c r="AW137" s="23"/>
      <c r="AX137" s="23"/>
      <c r="AY137" s="231"/>
      <c r="AZ137" s="229"/>
      <c r="BA137" s="229"/>
      <c r="BB137" s="219"/>
      <c r="BC137" s="219"/>
      <c r="BD137" s="186"/>
      <c r="BE137" s="232"/>
      <c r="BF137" s="220"/>
      <c r="BG137" s="220"/>
      <c r="BH137" s="220"/>
      <c r="BI137" s="220"/>
      <c r="BJ137" s="220"/>
      <c r="BK137" s="1010"/>
      <c r="BL137" s="232"/>
      <c r="BM137" s="232"/>
      <c r="BN137" s="219"/>
      <c r="BO137" s="220"/>
      <c r="BP137" s="220"/>
      <c r="BQ137" s="220"/>
      <c r="BR137" s="220"/>
      <c r="BS137" s="220"/>
      <c r="BT137" s="220"/>
      <c r="BU137" s="220"/>
      <c r="BV137" s="220"/>
      <c r="BW137" s="220"/>
      <c r="BX137" s="233"/>
      <c r="BY137" s="1012"/>
      <c r="BZ137" s="220"/>
      <c r="CA137" s="221"/>
      <c r="CB137" s="220"/>
      <c r="CC137" s="234"/>
      <c r="CD137" s="234"/>
      <c r="CE137" s="234"/>
      <c r="CF137" s="233"/>
      <c r="CG137" s="232"/>
      <c r="CH137" s="220"/>
      <c r="CI137" s="220"/>
      <c r="CJ137" s="233"/>
      <c r="CK137" s="1012"/>
    </row>
    <row r="138" spans="8:89">
      <c r="H138" s="182"/>
      <c r="I138" s="200"/>
      <c r="J138" s="235"/>
      <c r="K138" s="201"/>
      <c r="L138" s="171"/>
      <c r="M138" s="171"/>
      <c r="N138" s="171"/>
      <c r="O138" s="202"/>
      <c r="P138" s="202"/>
      <c r="Q138" s="202"/>
      <c r="R138" s="202"/>
      <c r="S138" s="202"/>
      <c r="T138" s="204"/>
      <c r="U138" s="1011"/>
      <c r="V138" s="203"/>
      <c r="W138" s="203"/>
      <c r="X138" s="201"/>
      <c r="Y138" s="171"/>
      <c r="Z138" s="171"/>
      <c r="AA138" s="171"/>
      <c r="AB138" s="171"/>
      <c r="AC138" s="236"/>
      <c r="AD138" s="236"/>
      <c r="AE138" s="236"/>
      <c r="AF138" s="206"/>
      <c r="AG138" s="206"/>
      <c r="AH138" s="206"/>
      <c r="AI138" s="1013"/>
      <c r="AJ138" s="204"/>
      <c r="AK138" s="205"/>
      <c r="AL138" s="201"/>
      <c r="AM138" s="171"/>
      <c r="AN138" s="171"/>
      <c r="AO138" s="171"/>
      <c r="AP138" s="206"/>
      <c r="AQ138" s="235"/>
      <c r="AR138" s="170"/>
      <c r="AS138" s="171"/>
      <c r="AT138" s="206"/>
      <c r="AU138" s="1013"/>
      <c r="AV138" s="23"/>
      <c r="AW138" s="23"/>
      <c r="AX138" s="23"/>
      <c r="AY138" s="237"/>
      <c r="AZ138" s="235"/>
      <c r="BA138" s="235"/>
      <c r="BB138" s="225"/>
      <c r="BC138" s="225"/>
      <c r="BD138" s="171"/>
      <c r="BE138" s="238"/>
      <c r="BF138" s="226"/>
      <c r="BG138" s="226"/>
      <c r="BH138" s="226"/>
      <c r="BI138" s="226"/>
      <c r="BJ138" s="226"/>
      <c r="BK138" s="1011"/>
      <c r="BL138" s="238"/>
      <c r="BM138" s="238"/>
      <c r="BN138" s="225"/>
      <c r="BO138" s="226"/>
      <c r="BP138" s="226"/>
      <c r="BQ138" s="226"/>
      <c r="BR138" s="226"/>
      <c r="BS138" s="238"/>
      <c r="BT138" s="238"/>
      <c r="BU138" s="226"/>
      <c r="BV138" s="238"/>
      <c r="BW138" s="238"/>
      <c r="BX138" s="239"/>
      <c r="BY138" s="1013"/>
      <c r="BZ138" s="226"/>
      <c r="CA138" s="227"/>
      <c r="CB138" s="226"/>
      <c r="CC138" s="171"/>
      <c r="CD138" s="217"/>
      <c r="CE138" s="217"/>
      <c r="CF138" s="239"/>
      <c r="CG138" s="238"/>
      <c r="CH138" s="226"/>
      <c r="CI138" s="226"/>
      <c r="CJ138" s="239"/>
      <c r="CK138" s="1013"/>
    </row>
    <row r="139" spans="8:89">
      <c r="H139" s="182"/>
      <c r="I139" s="183"/>
      <c r="J139" s="229"/>
      <c r="K139" s="185"/>
      <c r="L139" s="186"/>
      <c r="M139" s="186"/>
      <c r="N139" s="186"/>
      <c r="O139" s="187"/>
      <c r="P139" s="187"/>
      <c r="Q139" s="187"/>
      <c r="R139" s="187"/>
      <c r="S139" s="187"/>
      <c r="T139" s="189"/>
      <c r="U139" s="1010"/>
      <c r="V139" s="188"/>
      <c r="W139" s="188"/>
      <c r="X139" s="185"/>
      <c r="Y139" s="186"/>
      <c r="Z139" s="186"/>
      <c r="AA139" s="186"/>
      <c r="AB139" s="186"/>
      <c r="AC139" s="230"/>
      <c r="AD139" s="230"/>
      <c r="AE139" s="230"/>
      <c r="AF139" s="199"/>
      <c r="AG139" s="199"/>
      <c r="AH139" s="199"/>
      <c r="AI139" s="1012"/>
      <c r="AJ139" s="189"/>
      <c r="AK139" s="190"/>
      <c r="AL139" s="185"/>
      <c r="AM139" s="186"/>
      <c r="AN139" s="186"/>
      <c r="AO139" s="186"/>
      <c r="AP139" s="199"/>
      <c r="AQ139" s="229"/>
      <c r="AR139" s="198"/>
      <c r="AS139" s="186"/>
      <c r="AT139" s="199"/>
      <c r="AU139" s="1012"/>
      <c r="AV139" s="23"/>
      <c r="AW139" s="23"/>
      <c r="AX139" s="23"/>
      <c r="AY139" s="231"/>
      <c r="AZ139" s="229"/>
      <c r="BA139" s="229"/>
      <c r="BB139" s="219"/>
      <c r="BC139" s="219"/>
      <c r="BD139" s="186"/>
      <c r="BE139" s="232"/>
      <c r="BF139" s="220"/>
      <c r="BG139" s="220"/>
      <c r="BH139" s="220"/>
      <c r="BI139" s="220"/>
      <c r="BJ139" s="220"/>
      <c r="BK139" s="1010"/>
      <c r="BL139" s="232"/>
      <c r="BM139" s="232"/>
      <c r="BN139" s="219"/>
      <c r="BO139" s="220"/>
      <c r="BP139" s="220"/>
      <c r="BQ139" s="220"/>
      <c r="BR139" s="220"/>
      <c r="BS139" s="220"/>
      <c r="BT139" s="220"/>
      <c r="BU139" s="220"/>
      <c r="BV139" s="220"/>
      <c r="BW139" s="220"/>
      <c r="BX139" s="233"/>
      <c r="BY139" s="1012"/>
      <c r="BZ139" s="220"/>
      <c r="CA139" s="221"/>
      <c r="CB139" s="220"/>
      <c r="CC139" s="234"/>
      <c r="CD139" s="234"/>
      <c r="CE139" s="234"/>
      <c r="CF139" s="233"/>
      <c r="CG139" s="232"/>
      <c r="CH139" s="220"/>
      <c r="CI139" s="220"/>
      <c r="CJ139" s="233"/>
      <c r="CK139" s="1012"/>
    </row>
    <row r="140" spans="8:89">
      <c r="H140" s="182"/>
      <c r="I140" s="200"/>
      <c r="J140" s="235"/>
      <c r="K140" s="201"/>
      <c r="L140" s="171"/>
      <c r="M140" s="171"/>
      <c r="N140" s="171"/>
      <c r="O140" s="202"/>
      <c r="P140" s="202"/>
      <c r="Q140" s="202"/>
      <c r="R140" s="202"/>
      <c r="S140" s="202"/>
      <c r="T140" s="204"/>
      <c r="U140" s="1011"/>
      <c r="V140" s="203"/>
      <c r="W140" s="203"/>
      <c r="X140" s="201"/>
      <c r="Y140" s="171"/>
      <c r="Z140" s="171"/>
      <c r="AA140" s="171"/>
      <c r="AB140" s="171"/>
      <c r="AC140" s="236"/>
      <c r="AD140" s="236"/>
      <c r="AE140" s="236"/>
      <c r="AF140" s="206"/>
      <c r="AG140" s="206"/>
      <c r="AH140" s="206"/>
      <c r="AI140" s="1013"/>
      <c r="AJ140" s="204"/>
      <c r="AK140" s="205"/>
      <c r="AL140" s="201"/>
      <c r="AM140" s="171"/>
      <c r="AN140" s="171"/>
      <c r="AO140" s="171"/>
      <c r="AP140" s="206"/>
      <c r="AQ140" s="235"/>
      <c r="AR140" s="170"/>
      <c r="AS140" s="171"/>
      <c r="AT140" s="206"/>
      <c r="AU140" s="1013"/>
      <c r="AV140" s="23"/>
      <c r="AW140" s="23"/>
      <c r="AX140" s="23"/>
      <c r="AY140" s="237"/>
      <c r="AZ140" s="235"/>
      <c r="BA140" s="235"/>
      <c r="BB140" s="225"/>
      <c r="BC140" s="225"/>
      <c r="BD140" s="171"/>
      <c r="BE140" s="238"/>
      <c r="BF140" s="226"/>
      <c r="BG140" s="226"/>
      <c r="BH140" s="226"/>
      <c r="BI140" s="226"/>
      <c r="BJ140" s="226"/>
      <c r="BK140" s="1011"/>
      <c r="BL140" s="238"/>
      <c r="BM140" s="238"/>
      <c r="BN140" s="225"/>
      <c r="BO140" s="226"/>
      <c r="BP140" s="226"/>
      <c r="BQ140" s="226"/>
      <c r="BR140" s="226"/>
      <c r="BS140" s="238"/>
      <c r="BT140" s="238"/>
      <c r="BU140" s="226"/>
      <c r="BV140" s="238"/>
      <c r="BW140" s="238"/>
      <c r="BX140" s="239"/>
      <c r="BY140" s="1013"/>
      <c r="BZ140" s="226"/>
      <c r="CA140" s="227"/>
      <c r="CB140" s="226"/>
      <c r="CC140" s="171"/>
      <c r="CD140" s="217"/>
      <c r="CE140" s="217"/>
      <c r="CF140" s="239"/>
      <c r="CG140" s="238"/>
      <c r="CH140" s="223"/>
      <c r="CI140" s="226"/>
      <c r="CJ140" s="239"/>
      <c r="CK140" s="1013"/>
    </row>
    <row r="141" spans="8:89">
      <c r="H141" s="182"/>
      <c r="I141" s="183"/>
      <c r="J141" s="229"/>
      <c r="K141" s="185"/>
      <c r="L141" s="186"/>
      <c r="M141" s="186"/>
      <c r="N141" s="186"/>
      <c r="O141" s="187"/>
      <c r="P141" s="187"/>
      <c r="Q141" s="187"/>
      <c r="R141" s="187"/>
      <c r="S141" s="187"/>
      <c r="T141" s="189"/>
      <c r="U141" s="1010"/>
      <c r="V141" s="188"/>
      <c r="W141" s="188"/>
      <c r="X141" s="185"/>
      <c r="Y141" s="186"/>
      <c r="Z141" s="186"/>
      <c r="AA141" s="186"/>
      <c r="AB141" s="186"/>
      <c r="AC141" s="230"/>
      <c r="AD141" s="230"/>
      <c r="AE141" s="230"/>
      <c r="AF141" s="199"/>
      <c r="AG141" s="199"/>
      <c r="AH141" s="199"/>
      <c r="AI141" s="1012"/>
      <c r="AJ141" s="189"/>
      <c r="AK141" s="190"/>
      <c r="AL141" s="185"/>
      <c r="AM141" s="186"/>
      <c r="AN141" s="186"/>
      <c r="AO141" s="186"/>
      <c r="AP141" s="199"/>
      <c r="AQ141" s="229"/>
      <c r="AR141" s="198"/>
      <c r="AS141" s="186"/>
      <c r="AT141" s="199"/>
      <c r="AU141" s="1012"/>
      <c r="AV141" s="23"/>
      <c r="AW141" s="23"/>
      <c r="AX141" s="23"/>
      <c r="AY141" s="231"/>
      <c r="AZ141" s="229"/>
      <c r="BA141" s="229"/>
      <c r="BB141" s="219"/>
      <c r="BC141" s="219"/>
      <c r="BD141" s="186"/>
      <c r="BE141" s="232"/>
      <c r="BF141" s="220"/>
      <c r="BG141" s="220"/>
      <c r="BH141" s="220"/>
      <c r="BI141" s="220"/>
      <c r="BJ141" s="220"/>
      <c r="BK141" s="1010"/>
      <c r="BL141" s="232"/>
      <c r="BM141" s="232"/>
      <c r="BN141" s="219"/>
      <c r="BO141" s="220"/>
      <c r="BP141" s="220"/>
      <c r="BQ141" s="220"/>
      <c r="BR141" s="220"/>
      <c r="BS141" s="220"/>
      <c r="BT141" s="220"/>
      <c r="BU141" s="220"/>
      <c r="BV141" s="220"/>
      <c r="BW141" s="220"/>
      <c r="BX141" s="233"/>
      <c r="BY141" s="1012"/>
      <c r="BZ141" s="220"/>
      <c r="CA141" s="221"/>
      <c r="CB141" s="220"/>
      <c r="CC141" s="234"/>
      <c r="CD141" s="234"/>
      <c r="CE141" s="234"/>
      <c r="CF141" s="233"/>
      <c r="CG141" s="232"/>
      <c r="CH141" s="220"/>
      <c r="CI141" s="220"/>
      <c r="CJ141" s="233"/>
      <c r="CK141" s="1012"/>
    </row>
    <row r="142" spans="8:89">
      <c r="H142" s="182"/>
      <c r="I142" s="200"/>
      <c r="J142" s="235"/>
      <c r="K142" s="201"/>
      <c r="L142" s="171"/>
      <c r="M142" s="171"/>
      <c r="N142" s="171"/>
      <c r="O142" s="202"/>
      <c r="P142" s="202"/>
      <c r="Q142" s="202"/>
      <c r="R142" s="202"/>
      <c r="S142" s="202"/>
      <c r="T142" s="204"/>
      <c r="U142" s="1011"/>
      <c r="V142" s="203"/>
      <c r="W142" s="203"/>
      <c r="X142" s="201"/>
      <c r="Y142" s="171"/>
      <c r="Z142" s="171"/>
      <c r="AA142" s="171"/>
      <c r="AB142" s="171"/>
      <c r="AC142" s="236"/>
      <c r="AD142" s="236"/>
      <c r="AE142" s="236"/>
      <c r="AF142" s="206"/>
      <c r="AG142" s="206"/>
      <c r="AH142" s="206"/>
      <c r="AI142" s="1013"/>
      <c r="AJ142" s="204"/>
      <c r="AK142" s="205"/>
      <c r="AL142" s="201"/>
      <c r="AM142" s="171"/>
      <c r="AN142" s="171"/>
      <c r="AO142" s="171"/>
      <c r="AP142" s="206"/>
      <c r="AQ142" s="235"/>
      <c r="AR142" s="170"/>
      <c r="AS142" s="171"/>
      <c r="AT142" s="206"/>
      <c r="AU142" s="1013"/>
      <c r="AV142" s="23"/>
      <c r="AW142" s="23"/>
      <c r="AX142" s="23"/>
      <c r="AY142" s="237"/>
      <c r="AZ142" s="235"/>
      <c r="BA142" s="235"/>
      <c r="BB142" s="225"/>
      <c r="BC142" s="225"/>
      <c r="BD142" s="171"/>
      <c r="BE142" s="238"/>
      <c r="BF142" s="226"/>
      <c r="BG142" s="226"/>
      <c r="BH142" s="226"/>
      <c r="BI142" s="226"/>
      <c r="BJ142" s="226"/>
      <c r="BK142" s="1011"/>
      <c r="BL142" s="238"/>
      <c r="BM142" s="238"/>
      <c r="BN142" s="225"/>
      <c r="BO142" s="226"/>
      <c r="BP142" s="226"/>
      <c r="BQ142" s="226"/>
      <c r="BR142" s="226"/>
      <c r="BS142" s="238"/>
      <c r="BT142" s="238"/>
      <c r="BU142" s="226"/>
      <c r="BV142" s="238"/>
      <c r="BW142" s="238"/>
      <c r="BX142" s="239"/>
      <c r="BY142" s="1013"/>
      <c r="BZ142" s="226"/>
      <c r="CA142" s="227"/>
      <c r="CB142" s="226"/>
      <c r="CC142" s="171"/>
      <c r="CD142" s="217"/>
      <c r="CE142" s="217"/>
      <c r="CF142" s="239"/>
      <c r="CG142" s="238"/>
      <c r="CH142" s="226"/>
      <c r="CI142" s="226"/>
      <c r="CJ142" s="239"/>
      <c r="CK142" s="1013"/>
    </row>
    <row r="143" spans="8:89">
      <c r="H143" s="182"/>
      <c r="I143" s="183"/>
      <c r="J143" s="229"/>
      <c r="K143" s="185"/>
      <c r="L143" s="186"/>
      <c r="M143" s="186"/>
      <c r="N143" s="186"/>
      <c r="O143" s="187"/>
      <c r="P143" s="187"/>
      <c r="Q143" s="187"/>
      <c r="R143" s="187"/>
      <c r="S143" s="187"/>
      <c r="T143" s="189"/>
      <c r="U143" s="1010"/>
      <c r="V143" s="188"/>
      <c r="W143" s="188"/>
      <c r="X143" s="185"/>
      <c r="Y143" s="186"/>
      <c r="Z143" s="186"/>
      <c r="AA143" s="186"/>
      <c r="AB143" s="186"/>
      <c r="AC143" s="230"/>
      <c r="AD143" s="230"/>
      <c r="AE143" s="230"/>
      <c r="AF143" s="199"/>
      <c r="AG143" s="199"/>
      <c r="AH143" s="199"/>
      <c r="AI143" s="1012"/>
      <c r="AJ143" s="189"/>
      <c r="AK143" s="190"/>
      <c r="AL143" s="185"/>
      <c r="AM143" s="186"/>
      <c r="AN143" s="186"/>
      <c r="AO143" s="186"/>
      <c r="AP143" s="199"/>
      <c r="AQ143" s="229"/>
      <c r="AR143" s="198"/>
      <c r="AS143" s="186"/>
      <c r="AT143" s="199"/>
      <c r="AU143" s="1012"/>
      <c r="AV143" s="23"/>
      <c r="AW143" s="23"/>
      <c r="AX143" s="23"/>
      <c r="AY143" s="231"/>
      <c r="AZ143" s="229"/>
      <c r="BA143" s="229"/>
      <c r="BB143" s="219"/>
      <c r="BC143" s="219"/>
      <c r="BD143" s="186"/>
      <c r="BE143" s="232"/>
      <c r="BF143" s="220"/>
      <c r="BG143" s="220"/>
      <c r="BH143" s="220"/>
      <c r="BI143" s="220"/>
      <c r="BJ143" s="220"/>
      <c r="BK143" s="1010"/>
      <c r="BL143" s="232"/>
      <c r="BM143" s="232"/>
      <c r="BN143" s="219"/>
      <c r="BO143" s="220"/>
      <c r="BP143" s="220"/>
      <c r="BQ143" s="220"/>
      <c r="BR143" s="220"/>
      <c r="BS143" s="220"/>
      <c r="BT143" s="220"/>
      <c r="BU143" s="220"/>
      <c r="BV143" s="220"/>
      <c r="BW143" s="220"/>
      <c r="BX143" s="233"/>
      <c r="BY143" s="1012"/>
      <c r="BZ143" s="220"/>
      <c r="CA143" s="221"/>
      <c r="CB143" s="220"/>
      <c r="CC143" s="234"/>
      <c r="CD143" s="234"/>
      <c r="CE143" s="234"/>
      <c r="CF143" s="233"/>
      <c r="CG143" s="232"/>
      <c r="CH143" s="220"/>
      <c r="CI143" s="220"/>
      <c r="CJ143" s="233"/>
      <c r="CK143" s="1012"/>
    </row>
    <row r="144" spans="8:89">
      <c r="H144" s="182"/>
      <c r="I144" s="200"/>
      <c r="J144" s="235"/>
      <c r="K144" s="201"/>
      <c r="L144" s="171"/>
      <c r="M144" s="171"/>
      <c r="N144" s="171"/>
      <c r="O144" s="202"/>
      <c r="P144" s="202"/>
      <c r="Q144" s="202"/>
      <c r="R144" s="202"/>
      <c r="S144" s="202"/>
      <c r="T144" s="204"/>
      <c r="U144" s="1011"/>
      <c r="V144" s="203"/>
      <c r="W144" s="203"/>
      <c r="X144" s="201"/>
      <c r="Y144" s="171"/>
      <c r="Z144" s="171"/>
      <c r="AA144" s="171"/>
      <c r="AB144" s="171"/>
      <c r="AC144" s="236"/>
      <c r="AD144" s="236"/>
      <c r="AE144" s="236"/>
      <c r="AF144" s="206"/>
      <c r="AG144" s="206"/>
      <c r="AH144" s="206"/>
      <c r="AI144" s="1013"/>
      <c r="AJ144" s="204"/>
      <c r="AK144" s="205"/>
      <c r="AL144" s="201"/>
      <c r="AM144" s="171"/>
      <c r="AN144" s="171"/>
      <c r="AO144" s="171"/>
      <c r="AP144" s="206"/>
      <c r="AQ144" s="235"/>
      <c r="AR144" s="170"/>
      <c r="AS144" s="171"/>
      <c r="AT144" s="206"/>
      <c r="AU144" s="1013"/>
      <c r="AV144" s="23"/>
      <c r="AW144" s="23"/>
      <c r="AX144" s="23"/>
      <c r="AY144" s="237"/>
      <c r="AZ144" s="235"/>
      <c r="BA144" s="235"/>
      <c r="BB144" s="225"/>
      <c r="BC144" s="225"/>
      <c r="BD144" s="171"/>
      <c r="BE144" s="238"/>
      <c r="BF144" s="226"/>
      <c r="BG144" s="226"/>
      <c r="BH144" s="226"/>
      <c r="BI144" s="226"/>
      <c r="BJ144" s="226"/>
      <c r="BK144" s="1011"/>
      <c r="BL144" s="238"/>
      <c r="BM144" s="238"/>
      <c r="BN144" s="225"/>
      <c r="BO144" s="226"/>
      <c r="BP144" s="226"/>
      <c r="BQ144" s="226"/>
      <c r="BR144" s="226"/>
      <c r="BS144" s="238"/>
      <c r="BT144" s="238"/>
      <c r="BU144" s="226"/>
      <c r="BV144" s="238"/>
      <c r="BW144" s="238"/>
      <c r="BX144" s="239"/>
      <c r="BY144" s="1013"/>
      <c r="BZ144" s="226"/>
      <c r="CA144" s="227"/>
      <c r="CB144" s="226"/>
      <c r="CC144" s="171"/>
      <c r="CD144" s="217"/>
      <c r="CE144" s="217"/>
      <c r="CF144" s="239"/>
      <c r="CG144" s="238"/>
      <c r="CH144" s="223"/>
      <c r="CI144" s="226"/>
      <c r="CJ144" s="239"/>
      <c r="CK144" s="1013"/>
    </row>
    <row r="145" spans="8:89">
      <c r="H145" s="182"/>
      <c r="I145" s="183"/>
      <c r="J145" s="229"/>
      <c r="K145" s="185"/>
      <c r="L145" s="186"/>
      <c r="M145" s="186"/>
      <c r="N145" s="186"/>
      <c r="O145" s="187"/>
      <c r="P145" s="187"/>
      <c r="Q145" s="187"/>
      <c r="R145" s="187"/>
      <c r="S145" s="187"/>
      <c r="T145" s="189"/>
      <c r="U145" s="1010"/>
      <c r="V145" s="188"/>
      <c r="W145" s="188"/>
      <c r="X145" s="185"/>
      <c r="Y145" s="186"/>
      <c r="Z145" s="186"/>
      <c r="AA145" s="186"/>
      <c r="AB145" s="186"/>
      <c r="AC145" s="230"/>
      <c r="AD145" s="230"/>
      <c r="AE145" s="230"/>
      <c r="AF145" s="199"/>
      <c r="AG145" s="199"/>
      <c r="AH145" s="199"/>
      <c r="AI145" s="1012"/>
      <c r="AJ145" s="189"/>
      <c r="AK145" s="190"/>
      <c r="AL145" s="185"/>
      <c r="AM145" s="186"/>
      <c r="AN145" s="186"/>
      <c r="AO145" s="186"/>
      <c r="AP145" s="199"/>
      <c r="AQ145" s="229"/>
      <c r="AR145" s="198"/>
      <c r="AS145" s="186"/>
      <c r="AT145" s="199"/>
      <c r="AU145" s="1012"/>
      <c r="AV145" s="23"/>
      <c r="AW145" s="23"/>
      <c r="AX145" s="23"/>
      <c r="AY145" s="231"/>
      <c r="AZ145" s="229"/>
      <c r="BA145" s="229"/>
      <c r="BB145" s="219"/>
      <c r="BC145" s="219"/>
      <c r="BD145" s="186"/>
      <c r="BE145" s="232"/>
      <c r="BF145" s="220"/>
      <c r="BG145" s="220"/>
      <c r="BH145" s="220"/>
      <c r="BI145" s="220"/>
      <c r="BJ145" s="220"/>
      <c r="BK145" s="1010"/>
      <c r="BL145" s="232"/>
      <c r="BM145" s="232"/>
      <c r="BN145" s="219"/>
      <c r="BO145" s="220"/>
      <c r="BP145" s="220"/>
      <c r="BQ145" s="220"/>
      <c r="BR145" s="220"/>
      <c r="BS145" s="220"/>
      <c r="BT145" s="220"/>
      <c r="BU145" s="220"/>
      <c r="BV145" s="220"/>
      <c r="BW145" s="220"/>
      <c r="BX145" s="233"/>
      <c r="BY145" s="1012"/>
      <c r="BZ145" s="220"/>
      <c r="CA145" s="221"/>
      <c r="CB145" s="220"/>
      <c r="CC145" s="234"/>
      <c r="CD145" s="234"/>
      <c r="CE145" s="234"/>
      <c r="CF145" s="233"/>
      <c r="CG145" s="232"/>
      <c r="CH145" s="220"/>
      <c r="CI145" s="220"/>
      <c r="CJ145" s="233"/>
      <c r="CK145" s="1012"/>
    </row>
    <row r="146" spans="8:89">
      <c r="H146" s="182"/>
      <c r="I146" s="200"/>
      <c r="J146" s="235"/>
      <c r="K146" s="201"/>
      <c r="L146" s="171"/>
      <c r="M146" s="171"/>
      <c r="N146" s="171"/>
      <c r="O146" s="202"/>
      <c r="P146" s="202"/>
      <c r="Q146" s="202"/>
      <c r="R146" s="202"/>
      <c r="S146" s="202"/>
      <c r="T146" s="204"/>
      <c r="U146" s="1011"/>
      <c r="V146" s="203"/>
      <c r="W146" s="203"/>
      <c r="X146" s="201"/>
      <c r="Y146" s="171"/>
      <c r="Z146" s="171"/>
      <c r="AA146" s="171"/>
      <c r="AB146" s="171"/>
      <c r="AC146" s="236"/>
      <c r="AD146" s="236"/>
      <c r="AE146" s="236"/>
      <c r="AF146" s="206"/>
      <c r="AG146" s="206"/>
      <c r="AH146" s="206"/>
      <c r="AI146" s="1013"/>
      <c r="AJ146" s="204"/>
      <c r="AK146" s="205"/>
      <c r="AL146" s="201"/>
      <c r="AM146" s="171"/>
      <c r="AN146" s="171"/>
      <c r="AO146" s="171"/>
      <c r="AP146" s="206"/>
      <c r="AQ146" s="235"/>
      <c r="AR146" s="170"/>
      <c r="AS146" s="171"/>
      <c r="AT146" s="206"/>
      <c r="AU146" s="1013"/>
      <c r="AV146" s="23"/>
      <c r="AW146" s="23"/>
      <c r="AX146" s="23"/>
      <c r="AY146" s="237"/>
      <c r="AZ146" s="235"/>
      <c r="BA146" s="235"/>
      <c r="BB146" s="225"/>
      <c r="BC146" s="225"/>
      <c r="BD146" s="171"/>
      <c r="BE146" s="238"/>
      <c r="BF146" s="226"/>
      <c r="BG146" s="226"/>
      <c r="BH146" s="226"/>
      <c r="BI146" s="226"/>
      <c r="BJ146" s="226"/>
      <c r="BK146" s="1011"/>
      <c r="BL146" s="238"/>
      <c r="BM146" s="238"/>
      <c r="BN146" s="225"/>
      <c r="BO146" s="226"/>
      <c r="BP146" s="226"/>
      <c r="BQ146" s="226"/>
      <c r="BR146" s="226"/>
      <c r="BS146" s="238"/>
      <c r="BT146" s="238"/>
      <c r="BU146" s="226"/>
      <c r="BV146" s="238"/>
      <c r="BW146" s="238"/>
      <c r="BX146" s="239"/>
      <c r="BY146" s="1013"/>
      <c r="BZ146" s="226"/>
      <c r="CA146" s="227"/>
      <c r="CB146" s="226"/>
      <c r="CC146" s="171"/>
      <c r="CD146" s="217"/>
      <c r="CE146" s="217"/>
      <c r="CF146" s="239"/>
      <c r="CG146" s="238"/>
      <c r="CH146" s="226"/>
      <c r="CI146" s="226"/>
      <c r="CJ146" s="239"/>
      <c r="CK146" s="1013"/>
    </row>
    <row r="147" spans="8:89">
      <c r="H147" s="182"/>
      <c r="I147" s="183"/>
      <c r="J147" s="229"/>
      <c r="K147" s="185"/>
      <c r="L147" s="186"/>
      <c r="M147" s="186"/>
      <c r="N147" s="186"/>
      <c r="O147" s="187"/>
      <c r="P147" s="187"/>
      <c r="Q147" s="187"/>
      <c r="R147" s="187"/>
      <c r="S147" s="187"/>
      <c r="T147" s="189"/>
      <c r="U147" s="1010"/>
      <c r="V147" s="188"/>
      <c r="W147" s="188"/>
      <c r="X147" s="185"/>
      <c r="Y147" s="186"/>
      <c r="Z147" s="186"/>
      <c r="AA147" s="186"/>
      <c r="AB147" s="186"/>
      <c r="AC147" s="230"/>
      <c r="AD147" s="230"/>
      <c r="AE147" s="230"/>
      <c r="AF147" s="199"/>
      <c r="AG147" s="199"/>
      <c r="AH147" s="199"/>
      <c r="AI147" s="1012"/>
      <c r="AJ147" s="189"/>
      <c r="AK147" s="190"/>
      <c r="AL147" s="185"/>
      <c r="AM147" s="186"/>
      <c r="AN147" s="186"/>
      <c r="AO147" s="186"/>
      <c r="AP147" s="199"/>
      <c r="AQ147" s="229"/>
      <c r="AR147" s="198"/>
      <c r="AS147" s="186"/>
      <c r="AT147" s="199"/>
      <c r="AU147" s="1012"/>
      <c r="AV147" s="23"/>
      <c r="AW147" s="23"/>
      <c r="AX147" s="23"/>
      <c r="AY147" s="231"/>
      <c r="AZ147" s="229"/>
      <c r="BA147" s="229"/>
      <c r="BB147" s="219"/>
      <c r="BC147" s="219"/>
      <c r="BD147" s="186"/>
      <c r="BE147" s="232"/>
      <c r="BF147" s="220"/>
      <c r="BG147" s="220"/>
      <c r="BH147" s="220"/>
      <c r="BI147" s="220"/>
      <c r="BJ147" s="220"/>
      <c r="BK147" s="1010"/>
      <c r="BL147" s="232"/>
      <c r="BM147" s="232"/>
      <c r="BN147" s="219"/>
      <c r="BO147" s="220"/>
      <c r="BP147" s="220"/>
      <c r="BQ147" s="220"/>
      <c r="BR147" s="220"/>
      <c r="BS147" s="220"/>
      <c r="BT147" s="220"/>
      <c r="BU147" s="220"/>
      <c r="BV147" s="220"/>
      <c r="BW147" s="220"/>
      <c r="BX147" s="233"/>
      <c r="BY147" s="1012"/>
      <c r="BZ147" s="220"/>
      <c r="CA147" s="221"/>
      <c r="CB147" s="220"/>
      <c r="CC147" s="234"/>
      <c r="CD147" s="234"/>
      <c r="CE147" s="234"/>
      <c r="CF147" s="233"/>
      <c r="CG147" s="232"/>
      <c r="CH147" s="220"/>
      <c r="CI147" s="220"/>
      <c r="CJ147" s="233"/>
      <c r="CK147" s="1012"/>
    </row>
    <row r="148" spans="8:89">
      <c r="H148" s="182"/>
      <c r="I148" s="200"/>
      <c r="J148" s="235"/>
      <c r="K148" s="201"/>
      <c r="L148" s="171"/>
      <c r="M148" s="171"/>
      <c r="N148" s="171"/>
      <c r="O148" s="202"/>
      <c r="P148" s="202"/>
      <c r="Q148" s="202"/>
      <c r="R148" s="202"/>
      <c r="S148" s="202"/>
      <c r="T148" s="204"/>
      <c r="U148" s="1011"/>
      <c r="V148" s="203"/>
      <c r="W148" s="203"/>
      <c r="X148" s="201"/>
      <c r="Y148" s="171"/>
      <c r="Z148" s="171"/>
      <c r="AA148" s="171"/>
      <c r="AB148" s="171"/>
      <c r="AC148" s="236"/>
      <c r="AD148" s="236"/>
      <c r="AE148" s="236"/>
      <c r="AF148" s="206"/>
      <c r="AG148" s="206"/>
      <c r="AH148" s="206"/>
      <c r="AI148" s="1013"/>
      <c r="AJ148" s="204"/>
      <c r="AK148" s="205"/>
      <c r="AL148" s="201"/>
      <c r="AM148" s="171"/>
      <c r="AN148" s="171"/>
      <c r="AO148" s="171"/>
      <c r="AP148" s="206"/>
      <c r="AQ148" s="235"/>
      <c r="AR148" s="170"/>
      <c r="AS148" s="171"/>
      <c r="AT148" s="206"/>
      <c r="AU148" s="1013"/>
      <c r="AV148" s="23"/>
      <c r="AW148" s="23"/>
      <c r="AX148" s="23"/>
      <c r="AY148" s="237"/>
      <c r="AZ148" s="235"/>
      <c r="BA148" s="235"/>
      <c r="BB148" s="225"/>
      <c r="BC148" s="225"/>
      <c r="BD148" s="171"/>
      <c r="BE148" s="238"/>
      <c r="BF148" s="226"/>
      <c r="BG148" s="226"/>
      <c r="BH148" s="226"/>
      <c r="BI148" s="226"/>
      <c r="BJ148" s="226"/>
      <c r="BK148" s="1011"/>
      <c r="BL148" s="238"/>
      <c r="BM148" s="238"/>
      <c r="BN148" s="225"/>
      <c r="BO148" s="226"/>
      <c r="BP148" s="226"/>
      <c r="BQ148" s="226"/>
      <c r="BR148" s="226"/>
      <c r="BS148" s="238"/>
      <c r="BT148" s="238"/>
      <c r="BU148" s="226"/>
      <c r="BV148" s="238"/>
      <c r="BW148" s="238"/>
      <c r="BX148" s="239"/>
      <c r="BY148" s="1013"/>
      <c r="BZ148" s="226"/>
      <c r="CA148" s="227"/>
      <c r="CB148" s="226"/>
      <c r="CC148" s="171"/>
      <c r="CD148" s="217"/>
      <c r="CE148" s="217"/>
      <c r="CF148" s="239"/>
      <c r="CG148" s="238"/>
      <c r="CH148" s="223"/>
      <c r="CI148" s="226"/>
      <c r="CJ148" s="239"/>
      <c r="CK148" s="1013"/>
    </row>
    <row r="149" spans="8:89">
      <c r="H149" s="182"/>
      <c r="I149" s="183"/>
      <c r="J149" s="229"/>
      <c r="K149" s="185"/>
      <c r="L149" s="186"/>
      <c r="M149" s="186"/>
      <c r="N149" s="186"/>
      <c r="O149" s="187"/>
      <c r="P149" s="187"/>
      <c r="Q149" s="187"/>
      <c r="R149" s="187"/>
      <c r="S149" s="187"/>
      <c r="T149" s="189"/>
      <c r="U149" s="1010"/>
      <c r="V149" s="188"/>
      <c r="W149" s="188"/>
      <c r="X149" s="185"/>
      <c r="Y149" s="186"/>
      <c r="Z149" s="186"/>
      <c r="AA149" s="186"/>
      <c r="AB149" s="186"/>
      <c r="AC149" s="230"/>
      <c r="AD149" s="230"/>
      <c r="AE149" s="230"/>
      <c r="AF149" s="199"/>
      <c r="AG149" s="199"/>
      <c r="AH149" s="199"/>
      <c r="AI149" s="1012"/>
      <c r="AJ149" s="189"/>
      <c r="AK149" s="190"/>
      <c r="AL149" s="185"/>
      <c r="AM149" s="186"/>
      <c r="AN149" s="186"/>
      <c r="AO149" s="186"/>
      <c r="AP149" s="199"/>
      <c r="AQ149" s="229"/>
      <c r="AR149" s="198"/>
      <c r="AS149" s="186"/>
      <c r="AT149" s="199"/>
      <c r="AU149" s="1012"/>
      <c r="AV149" s="23"/>
      <c r="AW149" s="23"/>
      <c r="AX149" s="23"/>
      <c r="AY149" s="231"/>
      <c r="AZ149" s="229"/>
      <c r="BA149" s="229"/>
      <c r="BB149" s="219"/>
      <c r="BC149" s="219"/>
      <c r="BD149" s="186"/>
      <c r="BE149" s="232"/>
      <c r="BF149" s="220"/>
      <c r="BG149" s="220"/>
      <c r="BH149" s="220"/>
      <c r="BI149" s="220"/>
      <c r="BJ149" s="220"/>
      <c r="BK149" s="1010"/>
      <c r="BL149" s="232"/>
      <c r="BM149" s="232"/>
      <c r="BN149" s="219"/>
      <c r="BO149" s="220"/>
      <c r="BP149" s="220"/>
      <c r="BQ149" s="220"/>
      <c r="BR149" s="220"/>
      <c r="BS149" s="220"/>
      <c r="BT149" s="220"/>
      <c r="BU149" s="220"/>
      <c r="BV149" s="220"/>
      <c r="BW149" s="220"/>
      <c r="BX149" s="233"/>
      <c r="BY149" s="1012"/>
      <c r="BZ149" s="220"/>
      <c r="CA149" s="221"/>
      <c r="CB149" s="220"/>
      <c r="CC149" s="234"/>
      <c r="CD149" s="234"/>
      <c r="CE149" s="234"/>
      <c r="CF149" s="233"/>
      <c r="CG149" s="232"/>
      <c r="CH149" s="220"/>
      <c r="CI149" s="220"/>
      <c r="CJ149" s="233"/>
      <c r="CK149" s="1012"/>
    </row>
    <row r="150" spans="8:89">
      <c r="H150" s="182"/>
      <c r="I150" s="200"/>
      <c r="J150" s="235"/>
      <c r="K150" s="201"/>
      <c r="L150" s="171"/>
      <c r="M150" s="171"/>
      <c r="N150" s="171"/>
      <c r="O150" s="202"/>
      <c r="P150" s="202"/>
      <c r="Q150" s="202"/>
      <c r="R150" s="202"/>
      <c r="S150" s="202"/>
      <c r="T150" s="204"/>
      <c r="U150" s="1011"/>
      <c r="V150" s="203"/>
      <c r="W150" s="203"/>
      <c r="X150" s="201"/>
      <c r="Y150" s="171"/>
      <c r="Z150" s="171"/>
      <c r="AA150" s="171"/>
      <c r="AB150" s="171"/>
      <c r="AC150" s="236"/>
      <c r="AD150" s="236"/>
      <c r="AE150" s="236"/>
      <c r="AF150" s="206"/>
      <c r="AG150" s="206"/>
      <c r="AH150" s="206"/>
      <c r="AI150" s="1013"/>
      <c r="AJ150" s="204"/>
      <c r="AK150" s="205"/>
      <c r="AL150" s="201"/>
      <c r="AM150" s="171"/>
      <c r="AN150" s="171"/>
      <c r="AO150" s="171"/>
      <c r="AP150" s="206"/>
      <c r="AQ150" s="235"/>
      <c r="AR150" s="170"/>
      <c r="AS150" s="171"/>
      <c r="AT150" s="206"/>
      <c r="AU150" s="1013"/>
      <c r="AV150" s="23"/>
      <c r="AW150" s="23"/>
      <c r="AX150" s="23"/>
      <c r="AY150" s="237"/>
      <c r="AZ150" s="235"/>
      <c r="BA150" s="235"/>
      <c r="BB150" s="225"/>
      <c r="BC150" s="225"/>
      <c r="BD150" s="171"/>
      <c r="BE150" s="238"/>
      <c r="BF150" s="226"/>
      <c r="BG150" s="226"/>
      <c r="BH150" s="226"/>
      <c r="BI150" s="226"/>
      <c r="BJ150" s="226"/>
      <c r="BK150" s="1011"/>
      <c r="BL150" s="238"/>
      <c r="BM150" s="238"/>
      <c r="BN150" s="225"/>
      <c r="BO150" s="226"/>
      <c r="BP150" s="226"/>
      <c r="BQ150" s="226"/>
      <c r="BR150" s="226"/>
      <c r="BS150" s="238"/>
      <c r="BT150" s="238"/>
      <c r="BU150" s="226"/>
      <c r="BV150" s="238"/>
      <c r="BW150" s="238"/>
      <c r="BX150" s="239"/>
      <c r="BY150" s="1013"/>
      <c r="BZ150" s="226"/>
      <c r="CA150" s="227"/>
      <c r="CB150" s="226"/>
      <c r="CC150" s="171"/>
      <c r="CD150" s="217"/>
      <c r="CE150" s="217"/>
      <c r="CF150" s="239"/>
      <c r="CG150" s="238"/>
      <c r="CH150" s="226"/>
      <c r="CI150" s="226"/>
      <c r="CJ150" s="239"/>
      <c r="CK150" s="1013"/>
    </row>
    <row r="151" spans="8:89">
      <c r="H151" s="182"/>
      <c r="I151" s="183"/>
      <c r="J151" s="229"/>
      <c r="K151" s="185"/>
      <c r="L151" s="186"/>
      <c r="M151" s="186"/>
      <c r="N151" s="186"/>
      <c r="O151" s="187"/>
      <c r="P151" s="187"/>
      <c r="Q151" s="187"/>
      <c r="R151" s="187"/>
      <c r="S151" s="187"/>
      <c r="T151" s="189"/>
      <c r="U151" s="1010"/>
      <c r="V151" s="188"/>
      <c r="W151" s="188"/>
      <c r="X151" s="185"/>
      <c r="Y151" s="186"/>
      <c r="Z151" s="186"/>
      <c r="AA151" s="186"/>
      <c r="AB151" s="186"/>
      <c r="AC151" s="230"/>
      <c r="AD151" s="230"/>
      <c r="AE151" s="230"/>
      <c r="AF151" s="199"/>
      <c r="AG151" s="199"/>
      <c r="AH151" s="199"/>
      <c r="AI151" s="1012"/>
      <c r="AJ151" s="189"/>
      <c r="AK151" s="190"/>
      <c r="AL151" s="185"/>
      <c r="AM151" s="186"/>
      <c r="AN151" s="186"/>
      <c r="AO151" s="186"/>
      <c r="AP151" s="199"/>
      <c r="AQ151" s="229"/>
      <c r="AR151" s="198"/>
      <c r="AS151" s="186"/>
      <c r="AT151" s="199"/>
      <c r="AU151" s="1012"/>
      <c r="AV151" s="23"/>
      <c r="AW151" s="23"/>
      <c r="AX151" s="23"/>
      <c r="AY151" s="231"/>
      <c r="AZ151" s="229"/>
      <c r="BA151" s="229"/>
      <c r="BB151" s="219"/>
      <c r="BC151" s="219"/>
      <c r="BD151" s="186"/>
      <c r="BE151" s="232"/>
      <c r="BF151" s="220"/>
      <c r="BG151" s="220"/>
      <c r="BH151" s="220"/>
      <c r="BI151" s="220"/>
      <c r="BJ151" s="220"/>
      <c r="BK151" s="1010"/>
      <c r="BL151" s="232"/>
      <c r="BM151" s="232"/>
      <c r="BN151" s="219"/>
      <c r="BO151" s="220"/>
      <c r="BP151" s="220"/>
      <c r="BQ151" s="220"/>
      <c r="BR151" s="220"/>
      <c r="BS151" s="220"/>
      <c r="BT151" s="220"/>
      <c r="BU151" s="220"/>
      <c r="BV151" s="220"/>
      <c r="BW151" s="220"/>
      <c r="BX151" s="233"/>
      <c r="BY151" s="1012"/>
      <c r="BZ151" s="220"/>
      <c r="CA151" s="221"/>
      <c r="CB151" s="220"/>
      <c r="CC151" s="234"/>
      <c r="CD151" s="234"/>
      <c r="CE151" s="234"/>
      <c r="CF151" s="233"/>
      <c r="CG151" s="232"/>
      <c r="CH151" s="220"/>
      <c r="CI151" s="220"/>
      <c r="CJ151" s="233"/>
      <c r="CK151" s="1012"/>
    </row>
    <row r="152" spans="8:89">
      <c r="H152" s="182"/>
      <c r="I152" s="200"/>
      <c r="J152" s="235"/>
      <c r="K152" s="201"/>
      <c r="L152" s="171"/>
      <c r="M152" s="171"/>
      <c r="N152" s="171"/>
      <c r="O152" s="202"/>
      <c r="P152" s="202"/>
      <c r="Q152" s="202"/>
      <c r="R152" s="202"/>
      <c r="S152" s="202"/>
      <c r="T152" s="204"/>
      <c r="U152" s="1011"/>
      <c r="V152" s="203"/>
      <c r="W152" s="203"/>
      <c r="X152" s="201"/>
      <c r="Y152" s="171"/>
      <c r="Z152" s="171"/>
      <c r="AA152" s="171"/>
      <c r="AB152" s="171"/>
      <c r="AC152" s="236"/>
      <c r="AD152" s="236"/>
      <c r="AE152" s="236"/>
      <c r="AF152" s="206"/>
      <c r="AG152" s="206"/>
      <c r="AH152" s="206"/>
      <c r="AI152" s="1013"/>
      <c r="AJ152" s="204"/>
      <c r="AK152" s="205"/>
      <c r="AL152" s="201"/>
      <c r="AM152" s="171"/>
      <c r="AN152" s="171"/>
      <c r="AO152" s="171"/>
      <c r="AP152" s="206"/>
      <c r="AQ152" s="235"/>
      <c r="AR152" s="170"/>
      <c r="AS152" s="171"/>
      <c r="AT152" s="206"/>
      <c r="AU152" s="1013"/>
      <c r="AV152" s="23"/>
      <c r="AW152" s="23"/>
      <c r="AX152" s="23"/>
      <c r="AY152" s="237"/>
      <c r="AZ152" s="235"/>
      <c r="BA152" s="235"/>
      <c r="BB152" s="225"/>
      <c r="BC152" s="225"/>
      <c r="BD152" s="171"/>
      <c r="BE152" s="238"/>
      <c r="BF152" s="226"/>
      <c r="BG152" s="226"/>
      <c r="BH152" s="226"/>
      <c r="BI152" s="226"/>
      <c r="BJ152" s="226"/>
      <c r="BK152" s="1011"/>
      <c r="BL152" s="238"/>
      <c r="BM152" s="238"/>
      <c r="BN152" s="225"/>
      <c r="BO152" s="226"/>
      <c r="BP152" s="226"/>
      <c r="BQ152" s="226"/>
      <c r="BR152" s="226"/>
      <c r="BS152" s="238"/>
      <c r="BT152" s="238"/>
      <c r="BU152" s="226"/>
      <c r="BV152" s="238"/>
      <c r="BW152" s="238"/>
      <c r="BX152" s="239"/>
      <c r="BY152" s="1013"/>
      <c r="BZ152" s="226"/>
      <c r="CA152" s="227"/>
      <c r="CB152" s="226"/>
      <c r="CC152" s="171"/>
      <c r="CD152" s="217"/>
      <c r="CE152" s="217"/>
      <c r="CF152" s="239"/>
      <c r="CG152" s="238"/>
      <c r="CH152" s="226"/>
      <c r="CI152" s="226"/>
      <c r="CJ152" s="239"/>
      <c r="CK152" s="1013"/>
    </row>
    <row r="153" spans="8:89">
      <c r="H153" s="182"/>
      <c r="I153" s="183"/>
      <c r="J153" s="229"/>
      <c r="K153" s="185"/>
      <c r="L153" s="186"/>
      <c r="M153" s="186"/>
      <c r="N153" s="186"/>
      <c r="O153" s="187"/>
      <c r="P153" s="187"/>
      <c r="Q153" s="187"/>
      <c r="R153" s="187"/>
      <c r="S153" s="187"/>
      <c r="T153" s="189"/>
      <c r="U153" s="1010"/>
      <c r="V153" s="188"/>
      <c r="W153" s="188"/>
      <c r="X153" s="185"/>
      <c r="Y153" s="186"/>
      <c r="Z153" s="186"/>
      <c r="AA153" s="186"/>
      <c r="AB153" s="186"/>
      <c r="AC153" s="230"/>
      <c r="AD153" s="230"/>
      <c r="AE153" s="230"/>
      <c r="AF153" s="199"/>
      <c r="AG153" s="199"/>
      <c r="AH153" s="199"/>
      <c r="AI153" s="1012"/>
      <c r="AJ153" s="189"/>
      <c r="AK153" s="190"/>
      <c r="AL153" s="185"/>
      <c r="AM153" s="186"/>
      <c r="AN153" s="186"/>
      <c r="AO153" s="186"/>
      <c r="AP153" s="199"/>
      <c r="AQ153" s="229"/>
      <c r="AR153" s="198"/>
      <c r="AS153" s="186"/>
      <c r="AT153" s="199"/>
      <c r="AU153" s="1012"/>
      <c r="AV153" s="23"/>
      <c r="AW153" s="23"/>
      <c r="AX153" s="23"/>
      <c r="AY153" s="231"/>
      <c r="AZ153" s="229"/>
      <c r="BA153" s="229"/>
      <c r="BB153" s="219"/>
      <c r="BC153" s="219"/>
      <c r="BD153" s="186"/>
      <c r="BE153" s="232"/>
      <c r="BF153" s="220"/>
      <c r="BG153" s="220"/>
      <c r="BH153" s="220"/>
      <c r="BI153" s="220"/>
      <c r="BJ153" s="220"/>
      <c r="BK153" s="1010"/>
      <c r="BL153" s="232"/>
      <c r="BM153" s="232"/>
      <c r="BN153" s="219"/>
      <c r="BO153" s="220"/>
      <c r="BP153" s="220"/>
      <c r="BQ153" s="220"/>
      <c r="BR153" s="220"/>
      <c r="BS153" s="220"/>
      <c r="BT153" s="220"/>
      <c r="BU153" s="220"/>
      <c r="BV153" s="220"/>
      <c r="BW153" s="220"/>
      <c r="BX153" s="233"/>
      <c r="BY153" s="1012"/>
      <c r="BZ153" s="220"/>
      <c r="CA153" s="221"/>
      <c r="CB153" s="220"/>
      <c r="CC153" s="234"/>
      <c r="CD153" s="234"/>
      <c r="CE153" s="234"/>
      <c r="CF153" s="233"/>
      <c r="CG153" s="232"/>
      <c r="CH153" s="220"/>
      <c r="CI153" s="220"/>
      <c r="CJ153" s="233"/>
      <c r="CK153" s="1012"/>
    </row>
    <row r="154" spans="8:89">
      <c r="H154" s="182"/>
      <c r="I154" s="200"/>
      <c r="J154" s="235"/>
      <c r="K154" s="201"/>
      <c r="L154" s="171"/>
      <c r="M154" s="171"/>
      <c r="N154" s="171"/>
      <c r="O154" s="202"/>
      <c r="P154" s="202"/>
      <c r="Q154" s="202"/>
      <c r="R154" s="202"/>
      <c r="S154" s="202"/>
      <c r="T154" s="204"/>
      <c r="U154" s="1011"/>
      <c r="V154" s="203"/>
      <c r="W154" s="203"/>
      <c r="X154" s="201"/>
      <c r="Y154" s="171"/>
      <c r="Z154" s="171"/>
      <c r="AA154" s="171"/>
      <c r="AB154" s="171"/>
      <c r="AC154" s="236"/>
      <c r="AD154" s="236"/>
      <c r="AE154" s="236"/>
      <c r="AF154" s="206"/>
      <c r="AG154" s="206"/>
      <c r="AH154" s="206"/>
      <c r="AI154" s="1013"/>
      <c r="AJ154" s="204"/>
      <c r="AK154" s="205"/>
      <c r="AL154" s="201"/>
      <c r="AM154" s="171"/>
      <c r="AN154" s="171"/>
      <c r="AO154" s="171"/>
      <c r="AP154" s="206"/>
      <c r="AQ154" s="235"/>
      <c r="AR154" s="170"/>
      <c r="AS154" s="171"/>
      <c r="AT154" s="206"/>
      <c r="AU154" s="1013"/>
      <c r="AV154" s="23"/>
      <c r="AW154" s="23"/>
      <c r="AX154" s="23"/>
      <c r="AY154" s="237"/>
      <c r="AZ154" s="235"/>
      <c r="BA154" s="235"/>
      <c r="BB154" s="225"/>
      <c r="BC154" s="225"/>
      <c r="BD154" s="171"/>
      <c r="BE154" s="238"/>
      <c r="BF154" s="226"/>
      <c r="BG154" s="226"/>
      <c r="BH154" s="226"/>
      <c r="BI154" s="226"/>
      <c r="BJ154" s="226"/>
      <c r="BK154" s="1011"/>
      <c r="BL154" s="238"/>
      <c r="BM154" s="238"/>
      <c r="BN154" s="225"/>
      <c r="BO154" s="226"/>
      <c r="BP154" s="226"/>
      <c r="BQ154" s="226"/>
      <c r="BR154" s="226"/>
      <c r="BS154" s="238"/>
      <c r="BT154" s="238"/>
      <c r="BU154" s="226"/>
      <c r="BV154" s="238"/>
      <c r="BW154" s="238"/>
      <c r="BX154" s="239"/>
      <c r="BY154" s="1013"/>
      <c r="BZ154" s="226"/>
      <c r="CA154" s="227"/>
      <c r="CB154" s="226"/>
      <c r="CC154" s="171"/>
      <c r="CD154" s="217"/>
      <c r="CE154" s="217"/>
      <c r="CF154" s="239"/>
      <c r="CG154" s="238"/>
      <c r="CH154" s="223"/>
      <c r="CI154" s="226"/>
      <c r="CJ154" s="239"/>
      <c r="CK154" s="1013"/>
    </row>
    <row r="155" spans="8:89">
      <c r="H155" s="182"/>
      <c r="I155" s="183"/>
      <c r="J155" s="229"/>
      <c r="K155" s="185"/>
      <c r="L155" s="186"/>
      <c r="M155" s="186"/>
      <c r="N155" s="186"/>
      <c r="O155" s="187"/>
      <c r="P155" s="187"/>
      <c r="Q155" s="187"/>
      <c r="R155" s="187"/>
      <c r="S155" s="187"/>
      <c r="T155" s="189"/>
      <c r="U155" s="1010"/>
      <c r="V155" s="188"/>
      <c r="W155" s="188"/>
      <c r="X155" s="185"/>
      <c r="Y155" s="186"/>
      <c r="Z155" s="186"/>
      <c r="AA155" s="186"/>
      <c r="AB155" s="186"/>
      <c r="AC155" s="230"/>
      <c r="AD155" s="230"/>
      <c r="AE155" s="230"/>
      <c r="AF155" s="199"/>
      <c r="AG155" s="199"/>
      <c r="AH155" s="199"/>
      <c r="AI155" s="1012"/>
      <c r="AJ155" s="189"/>
      <c r="AK155" s="190"/>
      <c r="AL155" s="185"/>
      <c r="AM155" s="186"/>
      <c r="AN155" s="186"/>
      <c r="AO155" s="186"/>
      <c r="AP155" s="199"/>
      <c r="AQ155" s="229"/>
      <c r="AR155" s="198"/>
      <c r="AS155" s="186"/>
      <c r="AT155" s="199"/>
      <c r="AU155" s="1012"/>
      <c r="AV155" s="23"/>
      <c r="AW155" s="23"/>
      <c r="AX155" s="23"/>
      <c r="AY155" s="231"/>
      <c r="AZ155" s="229"/>
      <c r="BA155" s="229"/>
      <c r="BB155" s="219"/>
      <c r="BC155" s="219"/>
      <c r="BD155" s="186"/>
      <c r="BE155" s="232"/>
      <c r="BF155" s="220"/>
      <c r="BG155" s="220"/>
      <c r="BH155" s="220"/>
      <c r="BI155" s="220"/>
      <c r="BJ155" s="220"/>
      <c r="BK155" s="1010"/>
      <c r="BL155" s="232"/>
      <c r="BM155" s="232"/>
      <c r="BN155" s="219"/>
      <c r="BO155" s="220"/>
      <c r="BP155" s="220"/>
      <c r="BQ155" s="220"/>
      <c r="BR155" s="220"/>
      <c r="BS155" s="220"/>
      <c r="BT155" s="220"/>
      <c r="BU155" s="220"/>
      <c r="BV155" s="220"/>
      <c r="BW155" s="220"/>
      <c r="BX155" s="233"/>
      <c r="BY155" s="1012"/>
      <c r="BZ155" s="220"/>
      <c r="CA155" s="221"/>
      <c r="CB155" s="220"/>
      <c r="CC155" s="234"/>
      <c r="CD155" s="234"/>
      <c r="CE155" s="234"/>
      <c r="CF155" s="233"/>
      <c r="CG155" s="232"/>
      <c r="CH155" s="220"/>
      <c r="CI155" s="220"/>
      <c r="CJ155" s="233"/>
      <c r="CK155" s="1012"/>
    </row>
    <row r="156" spans="8:89">
      <c r="H156" s="182"/>
      <c r="I156" s="200"/>
      <c r="J156" s="235"/>
      <c r="K156" s="201"/>
      <c r="L156" s="171"/>
      <c r="M156" s="171"/>
      <c r="N156" s="171"/>
      <c r="O156" s="202"/>
      <c r="P156" s="202"/>
      <c r="Q156" s="202"/>
      <c r="R156" s="202"/>
      <c r="S156" s="202"/>
      <c r="T156" s="204"/>
      <c r="U156" s="1011"/>
      <c r="V156" s="203"/>
      <c r="W156" s="203"/>
      <c r="X156" s="201"/>
      <c r="Y156" s="171"/>
      <c r="Z156" s="171"/>
      <c r="AA156" s="171"/>
      <c r="AB156" s="171"/>
      <c r="AC156" s="236"/>
      <c r="AD156" s="236"/>
      <c r="AE156" s="236"/>
      <c r="AF156" s="206"/>
      <c r="AG156" s="206"/>
      <c r="AH156" s="206"/>
      <c r="AI156" s="1013"/>
      <c r="AJ156" s="204"/>
      <c r="AK156" s="205"/>
      <c r="AL156" s="201"/>
      <c r="AM156" s="171"/>
      <c r="AN156" s="171"/>
      <c r="AO156" s="171"/>
      <c r="AP156" s="206"/>
      <c r="AQ156" s="235"/>
      <c r="AR156" s="170"/>
      <c r="AS156" s="171"/>
      <c r="AT156" s="206"/>
      <c r="AU156" s="1013"/>
      <c r="AV156" s="23"/>
      <c r="AW156" s="23"/>
      <c r="AX156" s="23"/>
      <c r="AY156" s="240"/>
      <c r="AZ156" s="181"/>
      <c r="BA156" s="181"/>
      <c r="BB156" s="222"/>
      <c r="BC156" s="222"/>
      <c r="BD156" s="174"/>
      <c r="BE156" s="241"/>
      <c r="BF156" s="223"/>
      <c r="BG156" s="223"/>
      <c r="BH156" s="223"/>
      <c r="BI156" s="223"/>
      <c r="BJ156" s="223"/>
      <c r="BK156" s="1011"/>
      <c r="BL156" s="241"/>
      <c r="BM156" s="241"/>
      <c r="BN156" s="222"/>
      <c r="BO156" s="223"/>
      <c r="BP156" s="223"/>
      <c r="BQ156" s="223"/>
      <c r="BR156" s="223"/>
      <c r="BS156" s="241"/>
      <c r="BT156" s="241"/>
      <c r="BU156" s="223"/>
      <c r="BV156" s="241"/>
      <c r="BW156" s="241"/>
      <c r="BX156" s="242"/>
      <c r="BY156" s="1013"/>
      <c r="BZ156" s="223"/>
      <c r="CA156" s="224"/>
      <c r="CB156" s="223"/>
      <c r="CC156" s="174"/>
      <c r="CD156" s="243"/>
      <c r="CE156" s="243"/>
      <c r="CF156" s="242"/>
      <c r="CG156" s="241"/>
      <c r="CH156" s="226"/>
      <c r="CI156" s="223"/>
      <c r="CJ156" s="242"/>
      <c r="CK156" s="1013"/>
    </row>
    <row r="157" spans="8:89">
      <c r="H157" s="182"/>
      <c r="I157" s="183"/>
      <c r="J157" s="229"/>
      <c r="K157" s="185"/>
      <c r="L157" s="186"/>
      <c r="M157" s="186"/>
      <c r="N157" s="186"/>
      <c r="O157" s="187"/>
      <c r="P157" s="187"/>
      <c r="Q157" s="187"/>
      <c r="R157" s="187"/>
      <c r="S157" s="187"/>
      <c r="T157" s="189"/>
      <c r="U157" s="1010"/>
      <c r="V157" s="188"/>
      <c r="W157" s="188"/>
      <c r="X157" s="185"/>
      <c r="Y157" s="186"/>
      <c r="Z157" s="186"/>
      <c r="AA157" s="186"/>
      <c r="AB157" s="186"/>
      <c r="AC157" s="230"/>
      <c r="AD157" s="230"/>
      <c r="AE157" s="230"/>
      <c r="AF157" s="199"/>
      <c r="AG157" s="199"/>
      <c r="AH157" s="199"/>
      <c r="AI157" s="1012"/>
      <c r="AJ157" s="189"/>
      <c r="AK157" s="190"/>
      <c r="AL157" s="185"/>
      <c r="AM157" s="186"/>
      <c r="AN157" s="186"/>
      <c r="AO157" s="186"/>
      <c r="AP157" s="199"/>
      <c r="AQ157" s="229"/>
      <c r="AR157" s="198"/>
      <c r="AS157" s="186"/>
      <c r="AT157" s="199"/>
      <c r="AU157" s="1012"/>
      <c r="AV157" s="23"/>
      <c r="AW157" s="23"/>
      <c r="AX157" s="23"/>
      <c r="AY157" s="231"/>
      <c r="AZ157" s="229"/>
      <c r="BA157" s="229"/>
      <c r="BB157" s="219"/>
      <c r="BC157" s="219"/>
      <c r="BD157" s="186"/>
      <c r="BE157" s="232"/>
      <c r="BF157" s="220"/>
      <c r="BG157" s="220"/>
      <c r="BH157" s="220"/>
      <c r="BI157" s="220"/>
      <c r="BJ157" s="220"/>
      <c r="BK157" s="1010"/>
      <c r="BL157" s="232"/>
      <c r="BM157" s="232"/>
      <c r="BN157" s="219"/>
      <c r="BO157" s="220"/>
      <c r="BP157" s="220"/>
      <c r="BQ157" s="220"/>
      <c r="BR157" s="220"/>
      <c r="BS157" s="220"/>
      <c r="BT157" s="220"/>
      <c r="BU157" s="220"/>
      <c r="BV157" s="220"/>
      <c r="BW157" s="220"/>
      <c r="BX157" s="233"/>
      <c r="BY157" s="1012"/>
      <c r="BZ157" s="220"/>
      <c r="CA157" s="221"/>
      <c r="CB157" s="220"/>
      <c r="CC157" s="234"/>
      <c r="CD157" s="234"/>
      <c r="CE157" s="234"/>
      <c r="CF157" s="233"/>
      <c r="CG157" s="232"/>
      <c r="CH157" s="220"/>
      <c r="CI157" s="220"/>
      <c r="CJ157" s="233"/>
      <c r="CK157" s="1012"/>
    </row>
    <row r="158" spans="8:89">
      <c r="H158" s="182"/>
      <c r="I158" s="200"/>
      <c r="J158" s="235"/>
      <c r="K158" s="201"/>
      <c r="L158" s="171"/>
      <c r="M158" s="171"/>
      <c r="N158" s="171"/>
      <c r="O158" s="202"/>
      <c r="P158" s="202"/>
      <c r="Q158" s="202"/>
      <c r="R158" s="202"/>
      <c r="S158" s="202"/>
      <c r="T158" s="204"/>
      <c r="U158" s="1011"/>
      <c r="V158" s="203"/>
      <c r="W158" s="203"/>
      <c r="X158" s="201"/>
      <c r="Y158" s="171"/>
      <c r="Z158" s="171"/>
      <c r="AA158" s="171"/>
      <c r="AB158" s="171"/>
      <c r="AC158" s="236"/>
      <c r="AD158" s="236"/>
      <c r="AE158" s="236"/>
      <c r="AF158" s="206"/>
      <c r="AG158" s="206"/>
      <c r="AH158" s="206"/>
      <c r="AI158" s="1013"/>
      <c r="AJ158" s="204"/>
      <c r="AK158" s="205"/>
      <c r="AL158" s="201"/>
      <c r="AM158" s="171"/>
      <c r="AN158" s="171"/>
      <c r="AO158" s="171"/>
      <c r="AP158" s="206"/>
      <c r="AQ158" s="235"/>
      <c r="AR158" s="170"/>
      <c r="AS158" s="171"/>
      <c r="AT158" s="206"/>
      <c r="AU158" s="1013"/>
      <c r="AV158" s="23"/>
      <c r="AW158" s="23"/>
      <c r="AX158" s="23"/>
      <c r="AY158" s="237"/>
      <c r="AZ158" s="235"/>
      <c r="BA158" s="235"/>
      <c r="BB158" s="225"/>
      <c r="BC158" s="225"/>
      <c r="BD158" s="171"/>
      <c r="BE158" s="238"/>
      <c r="BF158" s="226"/>
      <c r="BG158" s="226"/>
      <c r="BH158" s="226"/>
      <c r="BI158" s="226"/>
      <c r="BJ158" s="226"/>
      <c r="BK158" s="1011"/>
      <c r="BL158" s="238"/>
      <c r="BM158" s="238"/>
      <c r="BN158" s="225"/>
      <c r="BO158" s="226"/>
      <c r="BP158" s="226"/>
      <c r="BQ158" s="226"/>
      <c r="BR158" s="226"/>
      <c r="BS158" s="238"/>
      <c r="BT158" s="238"/>
      <c r="BU158" s="226"/>
      <c r="BV158" s="238"/>
      <c r="BW158" s="238"/>
      <c r="BX158" s="239"/>
      <c r="BY158" s="1013"/>
      <c r="BZ158" s="226"/>
      <c r="CA158" s="227"/>
      <c r="CB158" s="226"/>
      <c r="CC158" s="171"/>
      <c r="CD158" s="217"/>
      <c r="CE158" s="217"/>
      <c r="CF158" s="239"/>
      <c r="CG158" s="238"/>
      <c r="CH158" s="223"/>
      <c r="CI158" s="226"/>
      <c r="CJ158" s="239"/>
      <c r="CK158" s="1013"/>
    </row>
    <row r="159" spans="8:89">
      <c r="H159" s="182"/>
      <c r="I159" s="183"/>
      <c r="J159" s="229"/>
      <c r="K159" s="185"/>
      <c r="L159" s="186"/>
      <c r="M159" s="186"/>
      <c r="N159" s="186"/>
      <c r="O159" s="187"/>
      <c r="P159" s="187"/>
      <c r="Q159" s="187"/>
      <c r="R159" s="187"/>
      <c r="S159" s="187"/>
      <c r="T159" s="189"/>
      <c r="U159" s="1010"/>
      <c r="V159" s="188"/>
      <c r="W159" s="188"/>
      <c r="X159" s="185"/>
      <c r="Y159" s="186"/>
      <c r="Z159" s="186"/>
      <c r="AA159" s="186"/>
      <c r="AB159" s="186"/>
      <c r="AC159" s="230"/>
      <c r="AD159" s="230"/>
      <c r="AE159" s="230"/>
      <c r="AF159" s="199"/>
      <c r="AG159" s="199"/>
      <c r="AH159" s="199"/>
      <c r="AI159" s="1012"/>
      <c r="AJ159" s="189"/>
      <c r="AK159" s="190"/>
      <c r="AL159" s="185"/>
      <c r="AM159" s="186"/>
      <c r="AN159" s="186"/>
      <c r="AO159" s="186"/>
      <c r="AP159" s="199"/>
      <c r="AQ159" s="229"/>
      <c r="AR159" s="198"/>
      <c r="AS159" s="186"/>
      <c r="AT159" s="199"/>
      <c r="AU159" s="1012"/>
      <c r="AV159" s="23"/>
      <c r="AW159" s="23"/>
      <c r="AX159" s="23"/>
      <c r="AY159" s="231"/>
      <c r="AZ159" s="229"/>
      <c r="BA159" s="229"/>
      <c r="BB159" s="219"/>
      <c r="BC159" s="219"/>
      <c r="BD159" s="186"/>
      <c r="BE159" s="232"/>
      <c r="BF159" s="220"/>
      <c r="BG159" s="220"/>
      <c r="BH159" s="220"/>
      <c r="BI159" s="220"/>
      <c r="BJ159" s="220"/>
      <c r="BK159" s="1010"/>
      <c r="BL159" s="232"/>
      <c r="BM159" s="232"/>
      <c r="BN159" s="219"/>
      <c r="BO159" s="220"/>
      <c r="BP159" s="220"/>
      <c r="BQ159" s="220"/>
      <c r="BR159" s="220"/>
      <c r="BS159" s="220"/>
      <c r="BT159" s="220"/>
      <c r="BU159" s="220"/>
      <c r="BV159" s="220"/>
      <c r="BW159" s="220"/>
      <c r="BX159" s="233"/>
      <c r="BY159" s="1012"/>
      <c r="BZ159" s="220"/>
      <c r="CA159" s="221"/>
      <c r="CB159" s="220"/>
      <c r="CC159" s="234"/>
      <c r="CD159" s="234"/>
      <c r="CE159" s="234"/>
      <c r="CF159" s="233"/>
      <c r="CG159" s="232"/>
      <c r="CH159" s="220"/>
      <c r="CI159" s="220"/>
      <c r="CJ159" s="233"/>
      <c r="CK159" s="1012"/>
    </row>
    <row r="160" spans="8:89">
      <c r="H160" s="182"/>
      <c r="I160" s="200"/>
      <c r="J160" s="235"/>
      <c r="K160" s="201"/>
      <c r="L160" s="171"/>
      <c r="M160" s="171"/>
      <c r="N160" s="171"/>
      <c r="O160" s="202"/>
      <c r="P160" s="202"/>
      <c r="Q160" s="202"/>
      <c r="R160" s="202"/>
      <c r="S160" s="202"/>
      <c r="T160" s="204"/>
      <c r="U160" s="1011"/>
      <c r="V160" s="203"/>
      <c r="W160" s="203"/>
      <c r="X160" s="201"/>
      <c r="Y160" s="171"/>
      <c r="Z160" s="171"/>
      <c r="AA160" s="171"/>
      <c r="AB160" s="171"/>
      <c r="AC160" s="236"/>
      <c r="AD160" s="236"/>
      <c r="AE160" s="236"/>
      <c r="AF160" s="206"/>
      <c r="AG160" s="206"/>
      <c r="AH160" s="206"/>
      <c r="AI160" s="1013"/>
      <c r="AJ160" s="204"/>
      <c r="AK160" s="205"/>
      <c r="AL160" s="201"/>
      <c r="AM160" s="171"/>
      <c r="AN160" s="171"/>
      <c r="AO160" s="171"/>
      <c r="AP160" s="206"/>
      <c r="AQ160" s="235"/>
      <c r="AR160" s="170"/>
      <c r="AS160" s="171"/>
      <c r="AT160" s="206"/>
      <c r="AU160" s="1013"/>
      <c r="AV160" s="23"/>
      <c r="AW160" s="23"/>
      <c r="AX160" s="23"/>
      <c r="AY160" s="237"/>
      <c r="AZ160" s="235"/>
      <c r="BA160" s="235"/>
      <c r="BB160" s="225"/>
      <c r="BC160" s="225"/>
      <c r="BD160" s="171"/>
      <c r="BE160" s="238"/>
      <c r="BF160" s="226"/>
      <c r="BG160" s="226"/>
      <c r="BH160" s="226"/>
      <c r="BI160" s="226"/>
      <c r="BJ160" s="226"/>
      <c r="BK160" s="1011"/>
      <c r="BL160" s="238"/>
      <c r="BM160" s="238"/>
      <c r="BN160" s="225"/>
      <c r="BO160" s="226"/>
      <c r="BP160" s="226"/>
      <c r="BQ160" s="226"/>
      <c r="BR160" s="226"/>
      <c r="BS160" s="238"/>
      <c r="BT160" s="238"/>
      <c r="BU160" s="226"/>
      <c r="BV160" s="238"/>
      <c r="BW160" s="238"/>
      <c r="BX160" s="239"/>
      <c r="BY160" s="1013"/>
      <c r="BZ160" s="226"/>
      <c r="CA160" s="227"/>
      <c r="CB160" s="226"/>
      <c r="CC160" s="171"/>
      <c r="CD160" s="217"/>
      <c r="CE160" s="217"/>
      <c r="CF160" s="239"/>
      <c r="CG160" s="238"/>
      <c r="CH160" s="226"/>
      <c r="CI160" s="226"/>
      <c r="CJ160" s="239"/>
      <c r="CK160" s="1013"/>
    </row>
    <row r="161" spans="8:89">
      <c r="H161" s="182"/>
      <c r="I161" s="183"/>
      <c r="J161" s="229"/>
      <c r="K161" s="185"/>
      <c r="L161" s="186"/>
      <c r="M161" s="186"/>
      <c r="N161" s="186"/>
      <c r="O161" s="187"/>
      <c r="P161" s="187"/>
      <c r="Q161" s="187"/>
      <c r="R161" s="187"/>
      <c r="S161" s="187"/>
      <c r="T161" s="189"/>
      <c r="U161" s="1010"/>
      <c r="V161" s="188"/>
      <c r="W161" s="188"/>
      <c r="X161" s="185"/>
      <c r="Y161" s="186"/>
      <c r="Z161" s="186"/>
      <c r="AA161" s="186"/>
      <c r="AB161" s="186"/>
      <c r="AC161" s="230"/>
      <c r="AD161" s="230"/>
      <c r="AE161" s="230"/>
      <c r="AF161" s="199"/>
      <c r="AG161" s="199"/>
      <c r="AH161" s="199"/>
      <c r="AI161" s="1012"/>
      <c r="AJ161" s="189"/>
      <c r="AK161" s="190"/>
      <c r="AL161" s="185"/>
      <c r="AM161" s="186"/>
      <c r="AN161" s="186"/>
      <c r="AO161" s="186"/>
      <c r="AP161" s="199"/>
      <c r="AQ161" s="229"/>
      <c r="AR161" s="198"/>
      <c r="AS161" s="186"/>
      <c r="AT161" s="199"/>
      <c r="AU161" s="1012"/>
      <c r="AV161" s="23"/>
      <c r="AW161" s="23"/>
      <c r="AX161" s="23"/>
      <c r="AY161" s="231"/>
      <c r="AZ161" s="229"/>
      <c r="BA161" s="229"/>
      <c r="BB161" s="219"/>
      <c r="BC161" s="219"/>
      <c r="BD161" s="186"/>
      <c r="BE161" s="232"/>
      <c r="BF161" s="220"/>
      <c r="BG161" s="220"/>
      <c r="BH161" s="220"/>
      <c r="BI161" s="220"/>
      <c r="BJ161" s="220"/>
      <c r="BK161" s="1010"/>
      <c r="BL161" s="232"/>
      <c r="BM161" s="232"/>
      <c r="BN161" s="219"/>
      <c r="BO161" s="220"/>
      <c r="BP161" s="220"/>
      <c r="BQ161" s="220"/>
      <c r="BR161" s="220"/>
      <c r="BS161" s="220"/>
      <c r="BT161" s="220"/>
      <c r="BU161" s="220"/>
      <c r="BV161" s="220"/>
      <c r="BW161" s="220"/>
      <c r="BX161" s="233"/>
      <c r="BY161" s="1012"/>
      <c r="BZ161" s="220"/>
      <c r="CA161" s="221"/>
      <c r="CB161" s="220"/>
      <c r="CC161" s="234"/>
      <c r="CD161" s="234"/>
      <c r="CE161" s="234"/>
      <c r="CF161" s="233"/>
      <c r="CG161" s="232"/>
      <c r="CH161" s="220"/>
      <c r="CI161" s="220"/>
      <c r="CJ161" s="233"/>
      <c r="CK161" s="1012"/>
    </row>
    <row r="162" spans="8:89">
      <c r="H162" s="182"/>
      <c r="I162" s="200"/>
      <c r="J162" s="235"/>
      <c r="K162" s="201"/>
      <c r="L162" s="171"/>
      <c r="M162" s="171"/>
      <c r="N162" s="171"/>
      <c r="O162" s="202"/>
      <c r="P162" s="202"/>
      <c r="Q162" s="202"/>
      <c r="R162" s="202"/>
      <c r="S162" s="202"/>
      <c r="T162" s="204"/>
      <c r="U162" s="1011"/>
      <c r="V162" s="203"/>
      <c r="W162" s="203"/>
      <c r="X162" s="201"/>
      <c r="Y162" s="171"/>
      <c r="Z162" s="171"/>
      <c r="AA162" s="171"/>
      <c r="AB162" s="171"/>
      <c r="AC162" s="236"/>
      <c r="AD162" s="236"/>
      <c r="AE162" s="236"/>
      <c r="AF162" s="206"/>
      <c r="AG162" s="206"/>
      <c r="AH162" s="206"/>
      <c r="AI162" s="1013"/>
      <c r="AJ162" s="204"/>
      <c r="AK162" s="205"/>
      <c r="AL162" s="201"/>
      <c r="AM162" s="171"/>
      <c r="AN162" s="171"/>
      <c r="AO162" s="171"/>
      <c r="AP162" s="206"/>
      <c r="AQ162" s="235"/>
      <c r="AR162" s="170"/>
      <c r="AS162" s="171"/>
      <c r="AT162" s="206"/>
      <c r="AU162" s="1013"/>
      <c r="AV162" s="23"/>
      <c r="AW162" s="23"/>
      <c r="AX162" s="23"/>
      <c r="AY162" s="237"/>
      <c r="AZ162" s="235"/>
      <c r="BA162" s="235"/>
      <c r="BB162" s="225"/>
      <c r="BC162" s="225"/>
      <c r="BD162" s="171"/>
      <c r="BE162" s="238"/>
      <c r="BF162" s="226"/>
      <c r="BG162" s="226"/>
      <c r="BH162" s="226"/>
      <c r="BI162" s="226"/>
      <c r="BJ162" s="226"/>
      <c r="BK162" s="1011"/>
      <c r="BL162" s="238"/>
      <c r="BM162" s="238"/>
      <c r="BN162" s="225"/>
      <c r="BO162" s="226"/>
      <c r="BP162" s="226"/>
      <c r="BQ162" s="226"/>
      <c r="BR162" s="226"/>
      <c r="BS162" s="238"/>
      <c r="BT162" s="238"/>
      <c r="BU162" s="226"/>
      <c r="BV162" s="238"/>
      <c r="BW162" s="238"/>
      <c r="BX162" s="239"/>
      <c r="BY162" s="1013"/>
      <c r="BZ162" s="226"/>
      <c r="CA162" s="227"/>
      <c r="CB162" s="226"/>
      <c r="CC162" s="171"/>
      <c r="CD162" s="217"/>
      <c r="CE162" s="217"/>
      <c r="CF162" s="239"/>
      <c r="CG162" s="238"/>
      <c r="CH162" s="223"/>
      <c r="CI162" s="226"/>
      <c r="CJ162" s="239"/>
      <c r="CK162" s="1013"/>
    </row>
    <row r="163" spans="8:89">
      <c r="H163" s="182"/>
      <c r="I163" s="183"/>
      <c r="J163" s="229"/>
      <c r="K163" s="185"/>
      <c r="L163" s="186"/>
      <c r="M163" s="186"/>
      <c r="N163" s="186"/>
      <c r="O163" s="187"/>
      <c r="P163" s="187"/>
      <c r="Q163" s="187"/>
      <c r="R163" s="187"/>
      <c r="S163" s="187"/>
      <c r="T163" s="189"/>
      <c r="U163" s="1010"/>
      <c r="V163" s="188"/>
      <c r="W163" s="188"/>
      <c r="X163" s="185"/>
      <c r="Y163" s="186"/>
      <c r="Z163" s="186"/>
      <c r="AA163" s="186"/>
      <c r="AB163" s="186"/>
      <c r="AC163" s="230"/>
      <c r="AD163" s="230"/>
      <c r="AE163" s="230"/>
      <c r="AF163" s="199"/>
      <c r="AG163" s="199"/>
      <c r="AH163" s="199"/>
      <c r="AI163" s="1012"/>
      <c r="AJ163" s="189"/>
      <c r="AK163" s="190"/>
      <c r="AL163" s="185"/>
      <c r="AM163" s="186"/>
      <c r="AN163" s="186"/>
      <c r="AO163" s="186"/>
      <c r="AP163" s="199"/>
      <c r="AQ163" s="229"/>
      <c r="AR163" s="198"/>
      <c r="AS163" s="186"/>
      <c r="AT163" s="199"/>
      <c r="AU163" s="1012"/>
      <c r="AV163" s="23"/>
      <c r="AW163" s="23"/>
      <c r="AX163" s="23"/>
      <c r="AY163" s="231"/>
      <c r="AZ163" s="229"/>
      <c r="BA163" s="229"/>
      <c r="BB163" s="219"/>
      <c r="BC163" s="219"/>
      <c r="BD163" s="186"/>
      <c r="BE163" s="232"/>
      <c r="BF163" s="220"/>
      <c r="BG163" s="220"/>
      <c r="BH163" s="220"/>
      <c r="BI163" s="220"/>
      <c r="BJ163" s="220"/>
      <c r="BK163" s="1010"/>
      <c r="BL163" s="232"/>
      <c r="BM163" s="232"/>
      <c r="BN163" s="219"/>
      <c r="BO163" s="220"/>
      <c r="BP163" s="220"/>
      <c r="BQ163" s="220"/>
      <c r="BR163" s="220"/>
      <c r="BS163" s="220"/>
      <c r="BT163" s="220"/>
      <c r="BU163" s="220"/>
      <c r="BV163" s="220"/>
      <c r="BW163" s="220"/>
      <c r="BX163" s="233"/>
      <c r="BY163" s="1012"/>
      <c r="BZ163" s="220"/>
      <c r="CA163" s="221"/>
      <c r="CB163" s="220"/>
      <c r="CC163" s="234"/>
      <c r="CD163" s="234"/>
      <c r="CE163" s="234"/>
      <c r="CF163" s="233"/>
      <c r="CG163" s="232"/>
      <c r="CH163" s="220"/>
      <c r="CI163" s="220"/>
      <c r="CJ163" s="233"/>
      <c r="CK163" s="1012"/>
    </row>
    <row r="164" spans="8:89">
      <c r="H164" s="182"/>
      <c r="I164" s="200"/>
      <c r="J164" s="235"/>
      <c r="K164" s="201"/>
      <c r="L164" s="171"/>
      <c r="M164" s="171"/>
      <c r="N164" s="171"/>
      <c r="O164" s="202"/>
      <c r="P164" s="202"/>
      <c r="Q164" s="202"/>
      <c r="R164" s="202"/>
      <c r="S164" s="202"/>
      <c r="T164" s="204"/>
      <c r="U164" s="1011"/>
      <c r="V164" s="203"/>
      <c r="W164" s="203"/>
      <c r="X164" s="201"/>
      <c r="Y164" s="171"/>
      <c r="Z164" s="171"/>
      <c r="AA164" s="171"/>
      <c r="AB164" s="171"/>
      <c r="AC164" s="236"/>
      <c r="AD164" s="236"/>
      <c r="AE164" s="236"/>
      <c r="AF164" s="206"/>
      <c r="AG164" s="206"/>
      <c r="AH164" s="206"/>
      <c r="AI164" s="1013"/>
      <c r="AJ164" s="204"/>
      <c r="AK164" s="205"/>
      <c r="AL164" s="201"/>
      <c r="AM164" s="171"/>
      <c r="AN164" s="171"/>
      <c r="AO164" s="171"/>
      <c r="AP164" s="206"/>
      <c r="AQ164" s="235"/>
      <c r="AR164" s="170"/>
      <c r="AS164" s="171"/>
      <c r="AT164" s="206"/>
      <c r="AU164" s="1013"/>
      <c r="AV164" s="23"/>
      <c r="AW164" s="23"/>
      <c r="AX164" s="23"/>
      <c r="AY164" s="237"/>
      <c r="AZ164" s="235"/>
      <c r="BA164" s="235"/>
      <c r="BB164" s="225"/>
      <c r="BC164" s="225"/>
      <c r="BD164" s="171"/>
      <c r="BE164" s="238"/>
      <c r="BF164" s="226"/>
      <c r="BG164" s="226"/>
      <c r="BH164" s="226"/>
      <c r="BI164" s="226"/>
      <c r="BJ164" s="226"/>
      <c r="BK164" s="1011"/>
      <c r="BL164" s="238"/>
      <c r="BM164" s="238"/>
      <c r="BN164" s="225"/>
      <c r="BO164" s="226"/>
      <c r="BP164" s="226"/>
      <c r="BQ164" s="226"/>
      <c r="BR164" s="226"/>
      <c r="BS164" s="238"/>
      <c r="BT164" s="238"/>
      <c r="BU164" s="226"/>
      <c r="BV164" s="238"/>
      <c r="BW164" s="238"/>
      <c r="BX164" s="239"/>
      <c r="BY164" s="1013"/>
      <c r="BZ164" s="226"/>
      <c r="CA164" s="227"/>
      <c r="CB164" s="226"/>
      <c r="CC164" s="171"/>
      <c r="CD164" s="217"/>
      <c r="CE164" s="217"/>
      <c r="CF164" s="239"/>
      <c r="CG164" s="238"/>
      <c r="CH164" s="226"/>
      <c r="CI164" s="226"/>
      <c r="CJ164" s="239"/>
      <c r="CK164" s="1013"/>
    </row>
    <row r="165" spans="8:89">
      <c r="H165" s="182"/>
      <c r="I165" s="183"/>
      <c r="J165" s="229"/>
      <c r="K165" s="185"/>
      <c r="L165" s="186"/>
      <c r="M165" s="186"/>
      <c r="N165" s="186"/>
      <c r="O165" s="187"/>
      <c r="P165" s="187"/>
      <c r="Q165" s="187"/>
      <c r="R165" s="187"/>
      <c r="S165" s="187"/>
      <c r="T165" s="189"/>
      <c r="U165" s="1010"/>
      <c r="V165" s="188"/>
      <c r="W165" s="188"/>
      <c r="X165" s="185"/>
      <c r="Y165" s="186"/>
      <c r="Z165" s="186"/>
      <c r="AA165" s="186"/>
      <c r="AB165" s="186"/>
      <c r="AC165" s="230"/>
      <c r="AD165" s="230"/>
      <c r="AE165" s="230"/>
      <c r="AF165" s="199"/>
      <c r="AG165" s="199"/>
      <c r="AH165" s="199"/>
      <c r="AI165" s="1012"/>
      <c r="AJ165" s="189"/>
      <c r="AK165" s="190"/>
      <c r="AL165" s="185"/>
      <c r="AM165" s="186"/>
      <c r="AN165" s="186"/>
      <c r="AO165" s="186"/>
      <c r="AP165" s="199"/>
      <c r="AQ165" s="229"/>
      <c r="AR165" s="198"/>
      <c r="AS165" s="186"/>
      <c r="AT165" s="199"/>
      <c r="AU165" s="1012"/>
      <c r="AV165" s="23"/>
      <c r="AW165" s="23"/>
      <c r="AX165" s="23"/>
      <c r="AY165" s="231"/>
      <c r="AZ165" s="229"/>
      <c r="BA165" s="229"/>
      <c r="BB165" s="219"/>
      <c r="BC165" s="219"/>
      <c r="BD165" s="186"/>
      <c r="BE165" s="232"/>
      <c r="BF165" s="220"/>
      <c r="BG165" s="220"/>
      <c r="BH165" s="220"/>
      <c r="BI165" s="220"/>
      <c r="BJ165" s="220"/>
      <c r="BK165" s="1010"/>
      <c r="BL165" s="232"/>
      <c r="BM165" s="232"/>
      <c r="BN165" s="219"/>
      <c r="BO165" s="220"/>
      <c r="BP165" s="220"/>
      <c r="BQ165" s="220"/>
      <c r="BR165" s="220"/>
      <c r="BS165" s="220"/>
      <c r="BT165" s="220"/>
      <c r="BU165" s="220"/>
      <c r="BV165" s="220"/>
      <c r="BW165" s="220"/>
      <c r="BX165" s="233"/>
      <c r="BY165" s="1012"/>
      <c r="BZ165" s="220"/>
      <c r="CA165" s="221"/>
      <c r="CB165" s="220"/>
      <c r="CC165" s="234"/>
      <c r="CD165" s="234"/>
      <c r="CE165" s="234"/>
      <c r="CF165" s="233"/>
      <c r="CG165" s="232"/>
      <c r="CH165" s="220"/>
      <c r="CI165" s="220"/>
      <c r="CJ165" s="233"/>
      <c r="CK165" s="1012"/>
    </row>
    <row r="166" spans="8:89">
      <c r="H166" s="182"/>
      <c r="I166" s="200"/>
      <c r="J166" s="235"/>
      <c r="K166" s="201"/>
      <c r="L166" s="171"/>
      <c r="M166" s="171"/>
      <c r="N166" s="171"/>
      <c r="O166" s="202"/>
      <c r="P166" s="202"/>
      <c r="Q166" s="202"/>
      <c r="R166" s="202"/>
      <c r="S166" s="202"/>
      <c r="T166" s="204"/>
      <c r="U166" s="1011"/>
      <c r="V166" s="203"/>
      <c r="W166" s="203"/>
      <c r="X166" s="201"/>
      <c r="Y166" s="171"/>
      <c r="Z166" s="171"/>
      <c r="AA166" s="171"/>
      <c r="AB166" s="171"/>
      <c r="AC166" s="236"/>
      <c r="AD166" s="236"/>
      <c r="AE166" s="236"/>
      <c r="AF166" s="206"/>
      <c r="AG166" s="206"/>
      <c r="AH166" s="206"/>
      <c r="AI166" s="1013"/>
      <c r="AJ166" s="204"/>
      <c r="AK166" s="205"/>
      <c r="AL166" s="201"/>
      <c r="AM166" s="171"/>
      <c r="AN166" s="171"/>
      <c r="AO166" s="171"/>
      <c r="AP166" s="206"/>
      <c r="AQ166" s="235"/>
      <c r="AR166" s="170"/>
      <c r="AS166" s="171"/>
      <c r="AT166" s="206"/>
      <c r="AU166" s="1013"/>
      <c r="AV166" s="23"/>
      <c r="AW166" s="23"/>
      <c r="AX166" s="23"/>
      <c r="AY166" s="237"/>
      <c r="AZ166" s="235"/>
      <c r="BA166" s="235"/>
      <c r="BB166" s="225"/>
      <c r="BC166" s="225"/>
      <c r="BD166" s="171"/>
      <c r="BE166" s="238"/>
      <c r="BF166" s="226"/>
      <c r="BG166" s="226"/>
      <c r="BH166" s="226"/>
      <c r="BI166" s="226"/>
      <c r="BJ166" s="226"/>
      <c r="BK166" s="1011"/>
      <c r="BL166" s="238"/>
      <c r="BM166" s="238"/>
      <c r="BN166" s="225"/>
      <c r="BO166" s="226"/>
      <c r="BP166" s="226"/>
      <c r="BQ166" s="226"/>
      <c r="BR166" s="226"/>
      <c r="BS166" s="238"/>
      <c r="BT166" s="238"/>
      <c r="BU166" s="226"/>
      <c r="BV166" s="238"/>
      <c r="BW166" s="238"/>
      <c r="BX166" s="239"/>
      <c r="BY166" s="1013"/>
      <c r="BZ166" s="226"/>
      <c r="CA166" s="227"/>
      <c r="CB166" s="226"/>
      <c r="CC166" s="171"/>
      <c r="CD166" s="217"/>
      <c r="CE166" s="217"/>
      <c r="CF166" s="239"/>
      <c r="CG166" s="238"/>
      <c r="CH166" s="223"/>
      <c r="CI166" s="226"/>
      <c r="CJ166" s="239"/>
      <c r="CK166" s="1013"/>
    </row>
    <row r="167" spans="8:89">
      <c r="H167" s="182"/>
      <c r="I167" s="183"/>
      <c r="J167" s="229"/>
      <c r="K167" s="185"/>
      <c r="L167" s="186"/>
      <c r="M167" s="186"/>
      <c r="N167" s="186"/>
      <c r="O167" s="187"/>
      <c r="P167" s="187"/>
      <c r="Q167" s="187"/>
      <c r="R167" s="187"/>
      <c r="S167" s="187"/>
      <c r="T167" s="189"/>
      <c r="U167" s="1010"/>
      <c r="V167" s="188"/>
      <c r="W167" s="188"/>
      <c r="X167" s="185"/>
      <c r="Y167" s="186"/>
      <c r="Z167" s="186"/>
      <c r="AA167" s="186"/>
      <c r="AB167" s="186"/>
      <c r="AC167" s="230"/>
      <c r="AD167" s="230"/>
      <c r="AE167" s="230"/>
      <c r="AF167" s="199"/>
      <c r="AG167" s="199"/>
      <c r="AH167" s="199"/>
      <c r="AI167" s="1012"/>
      <c r="AJ167" s="189"/>
      <c r="AK167" s="190"/>
      <c r="AL167" s="185"/>
      <c r="AM167" s="186"/>
      <c r="AN167" s="186"/>
      <c r="AO167" s="186"/>
      <c r="AP167" s="199"/>
      <c r="AQ167" s="229"/>
      <c r="AR167" s="198"/>
      <c r="AS167" s="186"/>
      <c r="AT167" s="199"/>
      <c r="AU167" s="1012"/>
      <c r="AV167" s="23"/>
      <c r="AW167" s="23"/>
      <c r="AX167" s="23"/>
      <c r="AY167" s="231"/>
      <c r="AZ167" s="229"/>
      <c r="BA167" s="229"/>
      <c r="BB167" s="219"/>
      <c r="BC167" s="219"/>
      <c r="BD167" s="186"/>
      <c r="BE167" s="232"/>
      <c r="BF167" s="220"/>
      <c r="BG167" s="220"/>
      <c r="BH167" s="220"/>
      <c r="BI167" s="220"/>
      <c r="BJ167" s="220"/>
      <c r="BK167" s="1010"/>
      <c r="BL167" s="232"/>
      <c r="BM167" s="232"/>
      <c r="BN167" s="219"/>
      <c r="BO167" s="220"/>
      <c r="BP167" s="220"/>
      <c r="BQ167" s="220"/>
      <c r="BR167" s="220"/>
      <c r="BS167" s="220"/>
      <c r="BT167" s="220"/>
      <c r="BU167" s="220"/>
      <c r="BV167" s="220"/>
      <c r="BW167" s="220"/>
      <c r="BX167" s="233"/>
      <c r="BY167" s="1012"/>
      <c r="BZ167" s="220"/>
      <c r="CA167" s="221"/>
      <c r="CB167" s="220"/>
      <c r="CC167" s="234"/>
      <c r="CD167" s="234"/>
      <c r="CE167" s="234"/>
      <c r="CF167" s="233"/>
      <c r="CG167" s="232"/>
      <c r="CH167" s="220"/>
      <c r="CI167" s="220"/>
      <c r="CJ167" s="233"/>
      <c r="CK167" s="1012"/>
    </row>
    <row r="168" spans="8:89">
      <c r="H168" s="182"/>
      <c r="I168" s="200"/>
      <c r="J168" s="235"/>
      <c r="K168" s="201"/>
      <c r="L168" s="171"/>
      <c r="M168" s="171"/>
      <c r="N168" s="171"/>
      <c r="O168" s="202"/>
      <c r="P168" s="202"/>
      <c r="Q168" s="202"/>
      <c r="R168" s="202"/>
      <c r="S168" s="202"/>
      <c r="T168" s="204"/>
      <c r="U168" s="1011"/>
      <c r="V168" s="203"/>
      <c r="W168" s="203"/>
      <c r="X168" s="201"/>
      <c r="Y168" s="171"/>
      <c r="Z168" s="171"/>
      <c r="AA168" s="171"/>
      <c r="AB168" s="171"/>
      <c r="AC168" s="236"/>
      <c r="AD168" s="236"/>
      <c r="AE168" s="236"/>
      <c r="AF168" s="206"/>
      <c r="AG168" s="206"/>
      <c r="AH168" s="206"/>
      <c r="AI168" s="1013"/>
      <c r="AJ168" s="204"/>
      <c r="AK168" s="205"/>
      <c r="AL168" s="201"/>
      <c r="AM168" s="171"/>
      <c r="AN168" s="171"/>
      <c r="AO168" s="171"/>
      <c r="AP168" s="206"/>
      <c r="AQ168" s="235"/>
      <c r="AR168" s="170"/>
      <c r="AS168" s="171"/>
      <c r="AT168" s="206"/>
      <c r="AU168" s="1013"/>
      <c r="AV168" s="23"/>
      <c r="AW168" s="23"/>
      <c r="AX168" s="23"/>
      <c r="AY168" s="237"/>
      <c r="AZ168" s="235"/>
      <c r="BA168" s="235"/>
      <c r="BB168" s="225"/>
      <c r="BC168" s="225"/>
      <c r="BD168" s="171"/>
      <c r="BE168" s="238"/>
      <c r="BF168" s="226"/>
      <c r="BG168" s="226"/>
      <c r="BH168" s="226"/>
      <c r="BI168" s="226"/>
      <c r="BJ168" s="226"/>
      <c r="BK168" s="1011"/>
      <c r="BL168" s="238"/>
      <c r="BM168" s="238"/>
      <c r="BN168" s="225"/>
      <c r="BO168" s="226"/>
      <c r="BP168" s="226"/>
      <c r="BQ168" s="226"/>
      <c r="BR168" s="226"/>
      <c r="BS168" s="238"/>
      <c r="BT168" s="238"/>
      <c r="BU168" s="226"/>
      <c r="BV168" s="238"/>
      <c r="BW168" s="238"/>
      <c r="BX168" s="239"/>
      <c r="BY168" s="1013"/>
      <c r="BZ168" s="226"/>
      <c r="CA168" s="227"/>
      <c r="CB168" s="226"/>
      <c r="CC168" s="171"/>
      <c r="CD168" s="217"/>
      <c r="CE168" s="217"/>
      <c r="CF168" s="239"/>
      <c r="CG168" s="238"/>
      <c r="CH168" s="226"/>
      <c r="CI168" s="226"/>
      <c r="CJ168" s="239"/>
      <c r="CK168" s="1013"/>
    </row>
    <row r="169" spans="8:89">
      <c r="H169" s="182"/>
      <c r="I169" s="183"/>
      <c r="J169" s="229"/>
      <c r="K169" s="185"/>
      <c r="L169" s="186"/>
      <c r="M169" s="186"/>
      <c r="N169" s="186"/>
      <c r="O169" s="187"/>
      <c r="P169" s="187"/>
      <c r="Q169" s="187"/>
      <c r="R169" s="187"/>
      <c r="S169" s="187"/>
      <c r="T169" s="189"/>
      <c r="U169" s="1010"/>
      <c r="V169" s="188"/>
      <c r="W169" s="188"/>
      <c r="X169" s="185"/>
      <c r="Y169" s="186"/>
      <c r="Z169" s="186"/>
      <c r="AA169" s="186"/>
      <c r="AB169" s="186"/>
      <c r="AC169" s="230"/>
      <c r="AD169" s="230"/>
      <c r="AE169" s="230"/>
      <c r="AF169" s="199"/>
      <c r="AG169" s="199"/>
      <c r="AH169" s="199"/>
      <c r="AI169" s="1012"/>
      <c r="AJ169" s="189"/>
      <c r="AK169" s="190"/>
      <c r="AL169" s="185"/>
      <c r="AM169" s="186"/>
      <c r="AN169" s="186"/>
      <c r="AO169" s="186"/>
      <c r="AP169" s="199"/>
      <c r="AQ169" s="229"/>
      <c r="AR169" s="198"/>
      <c r="AS169" s="186"/>
      <c r="AT169" s="199"/>
      <c r="AU169" s="1012"/>
      <c r="AV169" s="23"/>
      <c r="AW169" s="23"/>
      <c r="AX169" s="23"/>
      <c r="AY169" s="231"/>
      <c r="AZ169" s="229"/>
      <c r="BA169" s="229"/>
      <c r="BB169" s="219"/>
      <c r="BC169" s="219"/>
      <c r="BD169" s="186"/>
      <c r="BE169" s="232"/>
      <c r="BF169" s="220"/>
      <c r="BG169" s="220"/>
      <c r="BH169" s="220"/>
      <c r="BI169" s="220"/>
      <c r="BJ169" s="220"/>
      <c r="BK169" s="1010"/>
      <c r="BL169" s="232"/>
      <c r="BM169" s="232"/>
      <c r="BN169" s="219"/>
      <c r="BO169" s="220"/>
      <c r="BP169" s="220"/>
      <c r="BQ169" s="220"/>
      <c r="BR169" s="220"/>
      <c r="BS169" s="220"/>
      <c r="BT169" s="220"/>
      <c r="BU169" s="220"/>
      <c r="BV169" s="220"/>
      <c r="BW169" s="220"/>
      <c r="BX169" s="233"/>
      <c r="BY169" s="1012"/>
      <c r="BZ169" s="220"/>
      <c r="CA169" s="221"/>
      <c r="CB169" s="220"/>
      <c r="CC169" s="234"/>
      <c r="CD169" s="234"/>
      <c r="CE169" s="234"/>
      <c r="CF169" s="233"/>
      <c r="CG169" s="232"/>
      <c r="CH169" s="220"/>
      <c r="CI169" s="220"/>
      <c r="CJ169" s="233"/>
      <c r="CK169" s="1012"/>
    </row>
    <row r="170" spans="8:89">
      <c r="H170" s="182"/>
      <c r="I170" s="200"/>
      <c r="J170" s="235"/>
      <c r="K170" s="201"/>
      <c r="L170" s="171"/>
      <c r="M170" s="171"/>
      <c r="N170" s="171"/>
      <c r="O170" s="202"/>
      <c r="P170" s="202"/>
      <c r="Q170" s="202"/>
      <c r="R170" s="202"/>
      <c r="S170" s="202"/>
      <c r="T170" s="204"/>
      <c r="U170" s="1011"/>
      <c r="V170" s="203"/>
      <c r="W170" s="203"/>
      <c r="X170" s="201"/>
      <c r="Y170" s="171"/>
      <c r="Z170" s="171"/>
      <c r="AA170" s="171"/>
      <c r="AB170" s="171"/>
      <c r="AC170" s="236"/>
      <c r="AD170" s="236"/>
      <c r="AE170" s="236"/>
      <c r="AF170" s="206"/>
      <c r="AG170" s="206"/>
      <c r="AH170" s="206"/>
      <c r="AI170" s="1013"/>
      <c r="AJ170" s="204"/>
      <c r="AK170" s="205"/>
      <c r="AL170" s="201"/>
      <c r="AM170" s="171"/>
      <c r="AN170" s="171"/>
      <c r="AO170" s="171"/>
      <c r="AP170" s="206"/>
      <c r="AQ170" s="235"/>
      <c r="AR170" s="170"/>
      <c r="AS170" s="171"/>
      <c r="AT170" s="206"/>
      <c r="AU170" s="1013"/>
      <c r="AV170" s="23"/>
      <c r="AW170" s="23"/>
      <c r="AX170" s="23"/>
      <c r="AY170" s="237"/>
      <c r="AZ170" s="235"/>
      <c r="BA170" s="235"/>
      <c r="BB170" s="225"/>
      <c r="BC170" s="225"/>
      <c r="BD170" s="171"/>
      <c r="BE170" s="238"/>
      <c r="BF170" s="226"/>
      <c r="BG170" s="226"/>
      <c r="BH170" s="226"/>
      <c r="BI170" s="226"/>
      <c r="BJ170" s="226"/>
      <c r="BK170" s="1011"/>
      <c r="BL170" s="238"/>
      <c r="BM170" s="238"/>
      <c r="BN170" s="225"/>
      <c r="BO170" s="226"/>
      <c r="BP170" s="226"/>
      <c r="BQ170" s="226"/>
      <c r="BR170" s="226"/>
      <c r="BS170" s="238"/>
      <c r="BT170" s="238"/>
      <c r="BU170" s="226"/>
      <c r="BV170" s="238"/>
      <c r="BW170" s="238"/>
      <c r="BX170" s="239"/>
      <c r="BY170" s="1013"/>
      <c r="BZ170" s="226"/>
      <c r="CA170" s="227"/>
      <c r="CB170" s="226"/>
      <c r="CC170" s="171"/>
      <c r="CD170" s="217"/>
      <c r="CE170" s="217"/>
      <c r="CF170" s="239"/>
      <c r="CG170" s="238"/>
      <c r="CH170" s="223"/>
      <c r="CI170" s="226"/>
      <c r="CJ170" s="239"/>
      <c r="CK170" s="1013"/>
    </row>
    <row r="171" spans="8:89">
      <c r="H171" s="182"/>
      <c r="I171" s="183"/>
      <c r="J171" s="229"/>
      <c r="K171" s="185"/>
      <c r="L171" s="186"/>
      <c r="M171" s="186"/>
      <c r="N171" s="186"/>
      <c r="O171" s="187"/>
      <c r="P171" s="187"/>
      <c r="Q171" s="187"/>
      <c r="R171" s="187"/>
      <c r="S171" s="187"/>
      <c r="T171" s="189"/>
      <c r="U171" s="1010"/>
      <c r="V171" s="188"/>
      <c r="W171" s="188"/>
      <c r="X171" s="185"/>
      <c r="Y171" s="186"/>
      <c r="Z171" s="186"/>
      <c r="AA171" s="186"/>
      <c r="AB171" s="186"/>
      <c r="AC171" s="230"/>
      <c r="AD171" s="230"/>
      <c r="AE171" s="230"/>
      <c r="AF171" s="199"/>
      <c r="AG171" s="199"/>
      <c r="AH171" s="199"/>
      <c r="AI171" s="1012"/>
      <c r="AJ171" s="189"/>
      <c r="AK171" s="190"/>
      <c r="AL171" s="185"/>
      <c r="AM171" s="186"/>
      <c r="AN171" s="186"/>
      <c r="AO171" s="186"/>
      <c r="AP171" s="199"/>
      <c r="AQ171" s="229"/>
      <c r="AR171" s="198"/>
      <c r="AS171" s="186"/>
      <c r="AT171" s="199"/>
      <c r="AU171" s="1012"/>
      <c r="AV171" s="23"/>
      <c r="AW171" s="23"/>
      <c r="AX171" s="23"/>
      <c r="AY171" s="231"/>
      <c r="AZ171" s="229"/>
      <c r="BA171" s="229"/>
      <c r="BB171" s="219"/>
      <c r="BC171" s="219"/>
      <c r="BD171" s="186"/>
      <c r="BE171" s="232"/>
      <c r="BF171" s="220"/>
      <c r="BG171" s="220"/>
      <c r="BH171" s="220"/>
      <c r="BI171" s="220"/>
      <c r="BJ171" s="220"/>
      <c r="BK171" s="1010"/>
      <c r="BL171" s="232"/>
      <c r="BM171" s="232"/>
      <c r="BN171" s="219"/>
      <c r="BO171" s="220"/>
      <c r="BP171" s="220"/>
      <c r="BQ171" s="220"/>
      <c r="BR171" s="220"/>
      <c r="BS171" s="220"/>
      <c r="BT171" s="220"/>
      <c r="BU171" s="220"/>
      <c r="BV171" s="220"/>
      <c r="BW171" s="220"/>
      <c r="BX171" s="233"/>
      <c r="BY171" s="1012"/>
      <c r="BZ171" s="220"/>
      <c r="CA171" s="221"/>
      <c r="CB171" s="220"/>
      <c r="CC171" s="234"/>
      <c r="CD171" s="234"/>
      <c r="CE171" s="234"/>
      <c r="CF171" s="233"/>
      <c r="CG171" s="232"/>
      <c r="CH171" s="220"/>
      <c r="CI171" s="220"/>
      <c r="CJ171" s="233"/>
      <c r="CK171" s="1012"/>
    </row>
    <row r="172" spans="8:89">
      <c r="H172" s="182"/>
      <c r="I172" s="200"/>
      <c r="J172" s="235"/>
      <c r="K172" s="201"/>
      <c r="L172" s="171"/>
      <c r="M172" s="171"/>
      <c r="N172" s="171"/>
      <c r="O172" s="202"/>
      <c r="P172" s="202"/>
      <c r="Q172" s="202"/>
      <c r="R172" s="202"/>
      <c r="S172" s="202"/>
      <c r="T172" s="204"/>
      <c r="U172" s="1011"/>
      <c r="V172" s="203"/>
      <c r="W172" s="203"/>
      <c r="X172" s="201"/>
      <c r="Y172" s="171"/>
      <c r="Z172" s="171"/>
      <c r="AA172" s="171"/>
      <c r="AB172" s="171"/>
      <c r="AC172" s="236"/>
      <c r="AD172" s="236"/>
      <c r="AE172" s="236"/>
      <c r="AF172" s="206"/>
      <c r="AG172" s="206"/>
      <c r="AH172" s="206"/>
      <c r="AI172" s="1013"/>
      <c r="AJ172" s="204"/>
      <c r="AK172" s="205"/>
      <c r="AL172" s="201"/>
      <c r="AM172" s="171"/>
      <c r="AN172" s="171"/>
      <c r="AO172" s="171"/>
      <c r="AP172" s="206"/>
      <c r="AQ172" s="235"/>
      <c r="AR172" s="170"/>
      <c r="AS172" s="171"/>
      <c r="AT172" s="206"/>
      <c r="AU172" s="1013"/>
      <c r="AV172" s="23"/>
      <c r="AW172" s="23"/>
      <c r="AX172" s="23"/>
      <c r="AY172" s="237"/>
      <c r="AZ172" s="235"/>
      <c r="BA172" s="235"/>
      <c r="BB172" s="225"/>
      <c r="BC172" s="225"/>
      <c r="BD172" s="171"/>
      <c r="BE172" s="238"/>
      <c r="BF172" s="226"/>
      <c r="BG172" s="226"/>
      <c r="BH172" s="226"/>
      <c r="BI172" s="226"/>
      <c r="BJ172" s="226"/>
      <c r="BK172" s="1011"/>
      <c r="BL172" s="238"/>
      <c r="BM172" s="238"/>
      <c r="BN172" s="225"/>
      <c r="BO172" s="226"/>
      <c r="BP172" s="226"/>
      <c r="BQ172" s="226"/>
      <c r="BR172" s="226"/>
      <c r="BS172" s="238"/>
      <c r="BT172" s="238"/>
      <c r="BU172" s="226"/>
      <c r="BV172" s="238"/>
      <c r="BW172" s="238"/>
      <c r="BX172" s="239"/>
      <c r="BY172" s="1013"/>
      <c r="BZ172" s="226"/>
      <c r="CA172" s="227"/>
      <c r="CB172" s="226"/>
      <c r="CC172" s="171"/>
      <c r="CD172" s="217"/>
      <c r="CE172" s="217"/>
      <c r="CF172" s="239"/>
      <c r="CG172" s="238"/>
      <c r="CH172" s="226"/>
      <c r="CI172" s="226"/>
      <c r="CJ172" s="239"/>
      <c r="CK172" s="1013"/>
    </row>
    <row r="173" spans="8:89">
      <c r="H173" s="182"/>
      <c r="I173" s="183"/>
      <c r="J173" s="229"/>
      <c r="K173" s="185"/>
      <c r="L173" s="186"/>
      <c r="M173" s="186"/>
      <c r="N173" s="186"/>
      <c r="O173" s="187"/>
      <c r="P173" s="187"/>
      <c r="Q173" s="187"/>
      <c r="R173" s="187"/>
      <c r="S173" s="187"/>
      <c r="T173" s="189"/>
      <c r="U173" s="1010"/>
      <c r="V173" s="188"/>
      <c r="W173" s="188"/>
      <c r="X173" s="185"/>
      <c r="Y173" s="186"/>
      <c r="Z173" s="186"/>
      <c r="AA173" s="186"/>
      <c r="AB173" s="186"/>
      <c r="AC173" s="230"/>
      <c r="AD173" s="230"/>
      <c r="AE173" s="230"/>
      <c r="AF173" s="199"/>
      <c r="AG173" s="199"/>
      <c r="AH173" s="199"/>
      <c r="AI173" s="1012"/>
      <c r="AJ173" s="189"/>
      <c r="AK173" s="190"/>
      <c r="AL173" s="185"/>
      <c r="AM173" s="186"/>
      <c r="AN173" s="186"/>
      <c r="AO173" s="186"/>
      <c r="AP173" s="199"/>
      <c r="AQ173" s="229"/>
      <c r="AR173" s="198"/>
      <c r="AS173" s="186"/>
      <c r="AT173" s="199"/>
      <c r="AU173" s="1012"/>
      <c r="AV173" s="23"/>
      <c r="AW173" s="23"/>
      <c r="AX173" s="23"/>
      <c r="AY173" s="231"/>
      <c r="AZ173" s="229"/>
      <c r="BA173" s="229"/>
      <c r="BB173" s="219"/>
      <c r="BC173" s="219"/>
      <c r="BD173" s="186"/>
      <c r="BE173" s="232"/>
      <c r="BF173" s="220"/>
      <c r="BG173" s="220"/>
      <c r="BH173" s="220"/>
      <c r="BI173" s="220"/>
      <c r="BJ173" s="220"/>
      <c r="BK173" s="1010"/>
      <c r="BL173" s="232"/>
      <c r="BM173" s="232"/>
      <c r="BN173" s="219"/>
      <c r="BO173" s="220"/>
      <c r="BP173" s="220"/>
      <c r="BQ173" s="220"/>
      <c r="BR173" s="220"/>
      <c r="BS173" s="220"/>
      <c r="BT173" s="220"/>
      <c r="BU173" s="220"/>
      <c r="BV173" s="220"/>
      <c r="BW173" s="220"/>
      <c r="BX173" s="233"/>
      <c r="BY173" s="1012"/>
      <c r="BZ173" s="220"/>
      <c r="CA173" s="221"/>
      <c r="CB173" s="220"/>
      <c r="CC173" s="234"/>
      <c r="CD173" s="234"/>
      <c r="CE173" s="234"/>
      <c r="CF173" s="233"/>
      <c r="CG173" s="232"/>
      <c r="CH173" s="220"/>
      <c r="CI173" s="220"/>
      <c r="CJ173" s="233"/>
      <c r="CK173" s="1012"/>
    </row>
    <row r="174" spans="8:89">
      <c r="H174" s="182"/>
      <c r="I174" s="200"/>
      <c r="J174" s="235"/>
      <c r="K174" s="201"/>
      <c r="L174" s="171"/>
      <c r="M174" s="171"/>
      <c r="N174" s="171"/>
      <c r="O174" s="202"/>
      <c r="P174" s="202"/>
      <c r="Q174" s="202"/>
      <c r="R174" s="202"/>
      <c r="S174" s="202"/>
      <c r="T174" s="204"/>
      <c r="U174" s="1011"/>
      <c r="V174" s="203"/>
      <c r="W174" s="203"/>
      <c r="X174" s="201"/>
      <c r="Y174" s="171"/>
      <c r="Z174" s="171"/>
      <c r="AA174" s="171"/>
      <c r="AB174" s="171"/>
      <c r="AC174" s="236"/>
      <c r="AD174" s="236"/>
      <c r="AE174" s="236"/>
      <c r="AF174" s="206"/>
      <c r="AG174" s="206"/>
      <c r="AH174" s="206"/>
      <c r="AI174" s="1013"/>
      <c r="AJ174" s="204"/>
      <c r="AK174" s="205"/>
      <c r="AL174" s="201"/>
      <c r="AM174" s="171"/>
      <c r="AN174" s="171"/>
      <c r="AO174" s="171"/>
      <c r="AP174" s="206"/>
      <c r="AQ174" s="235"/>
      <c r="AR174" s="170"/>
      <c r="AS174" s="171"/>
      <c r="AT174" s="206"/>
      <c r="AU174" s="1013"/>
      <c r="AV174" s="23"/>
      <c r="AW174" s="23"/>
      <c r="AX174" s="23"/>
      <c r="AY174" s="237"/>
      <c r="AZ174" s="235"/>
      <c r="BA174" s="235"/>
      <c r="BB174" s="225"/>
      <c r="BC174" s="225"/>
      <c r="BD174" s="171"/>
      <c r="BE174" s="238"/>
      <c r="BF174" s="226"/>
      <c r="BG174" s="226"/>
      <c r="BH174" s="226"/>
      <c r="BI174" s="226"/>
      <c r="BJ174" s="226"/>
      <c r="BK174" s="1011"/>
      <c r="BL174" s="238"/>
      <c r="BM174" s="238"/>
      <c r="BN174" s="225"/>
      <c r="BO174" s="226"/>
      <c r="BP174" s="226"/>
      <c r="BQ174" s="226"/>
      <c r="BR174" s="226"/>
      <c r="BS174" s="238"/>
      <c r="BT174" s="238"/>
      <c r="BU174" s="226"/>
      <c r="BV174" s="238"/>
      <c r="BW174" s="238"/>
      <c r="BX174" s="239"/>
      <c r="BY174" s="1013"/>
      <c r="BZ174" s="226"/>
      <c r="CA174" s="227"/>
      <c r="CB174" s="226"/>
      <c r="CC174" s="171"/>
      <c r="CD174" s="217"/>
      <c r="CE174" s="217"/>
      <c r="CF174" s="239"/>
      <c r="CG174" s="238"/>
      <c r="CH174" s="223"/>
      <c r="CI174" s="226"/>
      <c r="CJ174" s="239"/>
      <c r="CK174" s="1013"/>
    </row>
    <row r="175" spans="8:89">
      <c r="H175" s="182"/>
      <c r="I175" s="183"/>
      <c r="J175" s="229"/>
      <c r="K175" s="185"/>
      <c r="L175" s="186"/>
      <c r="M175" s="186"/>
      <c r="N175" s="186"/>
      <c r="O175" s="187"/>
      <c r="P175" s="187"/>
      <c r="Q175" s="187"/>
      <c r="R175" s="187"/>
      <c r="S175" s="187"/>
      <c r="T175" s="189"/>
      <c r="U175" s="1010"/>
      <c r="V175" s="188"/>
      <c r="W175" s="188"/>
      <c r="X175" s="185"/>
      <c r="Y175" s="186"/>
      <c r="Z175" s="186"/>
      <c r="AA175" s="186"/>
      <c r="AB175" s="186"/>
      <c r="AC175" s="230"/>
      <c r="AD175" s="230"/>
      <c r="AE175" s="230"/>
      <c r="AF175" s="199"/>
      <c r="AG175" s="199"/>
      <c r="AH175" s="199"/>
      <c r="AI175" s="1012"/>
      <c r="AJ175" s="189"/>
      <c r="AK175" s="190"/>
      <c r="AL175" s="185"/>
      <c r="AM175" s="186"/>
      <c r="AN175" s="186"/>
      <c r="AO175" s="186"/>
      <c r="AP175" s="199"/>
      <c r="AQ175" s="229"/>
      <c r="AR175" s="198"/>
      <c r="AS175" s="186"/>
      <c r="AT175" s="199"/>
      <c r="AU175" s="1012"/>
      <c r="AV175" s="23"/>
      <c r="AW175" s="23"/>
      <c r="AX175" s="23"/>
      <c r="AY175" s="231"/>
      <c r="AZ175" s="229"/>
      <c r="BA175" s="229"/>
      <c r="BB175" s="219"/>
      <c r="BC175" s="219"/>
      <c r="BD175" s="186"/>
      <c r="BE175" s="232"/>
      <c r="BF175" s="220"/>
      <c r="BG175" s="220"/>
      <c r="BH175" s="220"/>
      <c r="BI175" s="220"/>
      <c r="BJ175" s="220"/>
      <c r="BK175" s="1010"/>
      <c r="BL175" s="232"/>
      <c r="BM175" s="232"/>
      <c r="BN175" s="219"/>
      <c r="BO175" s="220"/>
      <c r="BP175" s="220"/>
      <c r="BQ175" s="220"/>
      <c r="BR175" s="220"/>
      <c r="BS175" s="220"/>
      <c r="BT175" s="220"/>
      <c r="BU175" s="220"/>
      <c r="BV175" s="220"/>
      <c r="BW175" s="220"/>
      <c r="BX175" s="233"/>
      <c r="BY175" s="1012"/>
      <c r="BZ175" s="220"/>
      <c r="CA175" s="221"/>
      <c r="CB175" s="220"/>
      <c r="CC175" s="234"/>
      <c r="CD175" s="234"/>
      <c r="CE175" s="234"/>
      <c r="CF175" s="233"/>
      <c r="CG175" s="232"/>
      <c r="CH175" s="220"/>
      <c r="CI175" s="220"/>
      <c r="CJ175" s="233"/>
      <c r="CK175" s="1012"/>
    </row>
    <row r="176" spans="8:89">
      <c r="H176" s="182"/>
      <c r="I176" s="200"/>
      <c r="J176" s="235"/>
      <c r="K176" s="201"/>
      <c r="L176" s="171"/>
      <c r="M176" s="171"/>
      <c r="N176" s="171"/>
      <c r="O176" s="202"/>
      <c r="P176" s="202"/>
      <c r="Q176" s="202"/>
      <c r="R176" s="202"/>
      <c r="S176" s="202"/>
      <c r="T176" s="204"/>
      <c r="U176" s="1011"/>
      <c r="V176" s="203"/>
      <c r="W176" s="203"/>
      <c r="X176" s="201"/>
      <c r="Y176" s="171"/>
      <c r="Z176" s="171"/>
      <c r="AA176" s="171"/>
      <c r="AB176" s="171"/>
      <c r="AC176" s="236"/>
      <c r="AD176" s="236"/>
      <c r="AE176" s="236"/>
      <c r="AF176" s="206"/>
      <c r="AG176" s="206"/>
      <c r="AH176" s="206"/>
      <c r="AI176" s="1013"/>
      <c r="AJ176" s="204"/>
      <c r="AK176" s="205"/>
      <c r="AL176" s="201"/>
      <c r="AM176" s="171"/>
      <c r="AN176" s="171"/>
      <c r="AO176" s="171"/>
      <c r="AP176" s="206"/>
      <c r="AQ176" s="235"/>
      <c r="AR176" s="170"/>
      <c r="AS176" s="171"/>
      <c r="AT176" s="206"/>
      <c r="AU176" s="1013"/>
      <c r="AV176" s="23"/>
      <c r="AW176" s="23"/>
      <c r="AX176" s="23"/>
      <c r="AY176" s="237"/>
      <c r="AZ176" s="235"/>
      <c r="BA176" s="235"/>
      <c r="BB176" s="225"/>
      <c r="BC176" s="225"/>
      <c r="BD176" s="171"/>
      <c r="BE176" s="238"/>
      <c r="BF176" s="226"/>
      <c r="BG176" s="226"/>
      <c r="BH176" s="226"/>
      <c r="BI176" s="226"/>
      <c r="BJ176" s="226"/>
      <c r="BK176" s="1011"/>
      <c r="BL176" s="238"/>
      <c r="BM176" s="238"/>
      <c r="BN176" s="225"/>
      <c r="BO176" s="226"/>
      <c r="BP176" s="226"/>
      <c r="BQ176" s="226"/>
      <c r="BR176" s="226"/>
      <c r="BS176" s="238"/>
      <c r="BT176" s="238"/>
      <c r="BU176" s="226"/>
      <c r="BV176" s="238"/>
      <c r="BW176" s="238"/>
      <c r="BX176" s="239"/>
      <c r="BY176" s="1013"/>
      <c r="BZ176" s="226"/>
      <c r="CA176" s="227"/>
      <c r="CB176" s="226"/>
      <c r="CC176" s="171"/>
      <c r="CD176" s="217"/>
      <c r="CE176" s="217"/>
      <c r="CF176" s="239"/>
      <c r="CG176" s="238"/>
      <c r="CH176" s="226"/>
      <c r="CI176" s="226"/>
      <c r="CJ176" s="239"/>
      <c r="CK176" s="1013"/>
    </row>
    <row r="177" spans="8:89">
      <c r="H177" s="182"/>
      <c r="I177" s="183"/>
      <c r="J177" s="229"/>
      <c r="K177" s="185"/>
      <c r="L177" s="186"/>
      <c r="M177" s="186"/>
      <c r="N177" s="186"/>
      <c r="O177" s="187"/>
      <c r="P177" s="187"/>
      <c r="Q177" s="187"/>
      <c r="R177" s="187"/>
      <c r="S177" s="187"/>
      <c r="T177" s="189"/>
      <c r="U177" s="1010"/>
      <c r="V177" s="188"/>
      <c r="W177" s="188"/>
      <c r="X177" s="185"/>
      <c r="Y177" s="186"/>
      <c r="Z177" s="186"/>
      <c r="AA177" s="186"/>
      <c r="AB177" s="186"/>
      <c r="AC177" s="230"/>
      <c r="AD177" s="230"/>
      <c r="AE177" s="230"/>
      <c r="AF177" s="199"/>
      <c r="AG177" s="199"/>
      <c r="AH177" s="199"/>
      <c r="AI177" s="1012"/>
      <c r="AJ177" s="189"/>
      <c r="AK177" s="190"/>
      <c r="AL177" s="185"/>
      <c r="AM177" s="186"/>
      <c r="AN177" s="186"/>
      <c r="AO177" s="186"/>
      <c r="AP177" s="199"/>
      <c r="AQ177" s="229"/>
      <c r="AR177" s="198"/>
      <c r="AS177" s="186"/>
      <c r="AT177" s="199"/>
      <c r="AU177" s="1012"/>
      <c r="AV177" s="23"/>
      <c r="AW177" s="23"/>
      <c r="AX177" s="23"/>
      <c r="AY177" s="231"/>
      <c r="AZ177" s="229"/>
      <c r="BA177" s="229"/>
      <c r="BB177" s="219"/>
      <c r="BC177" s="219"/>
      <c r="BD177" s="186"/>
      <c r="BE177" s="232"/>
      <c r="BF177" s="220"/>
      <c r="BG177" s="220"/>
      <c r="BH177" s="220"/>
      <c r="BI177" s="220"/>
      <c r="BJ177" s="220"/>
      <c r="BK177" s="1010"/>
      <c r="BL177" s="232"/>
      <c r="BM177" s="232"/>
      <c r="BN177" s="219"/>
      <c r="BO177" s="220"/>
      <c r="BP177" s="220"/>
      <c r="BQ177" s="220"/>
      <c r="BR177" s="220"/>
      <c r="BS177" s="220"/>
      <c r="BT177" s="220"/>
      <c r="BU177" s="220"/>
      <c r="BV177" s="220"/>
      <c r="BW177" s="220"/>
      <c r="BX177" s="233"/>
      <c r="BY177" s="1012"/>
      <c r="BZ177" s="220"/>
      <c r="CA177" s="221"/>
      <c r="CB177" s="220"/>
      <c r="CC177" s="234"/>
      <c r="CD177" s="234"/>
      <c r="CE177" s="234"/>
      <c r="CF177" s="233"/>
      <c r="CG177" s="232"/>
      <c r="CH177" s="220"/>
      <c r="CI177" s="220"/>
      <c r="CJ177" s="233"/>
      <c r="CK177" s="1012"/>
    </row>
    <row r="178" spans="8:89">
      <c r="H178" s="182"/>
      <c r="I178" s="200"/>
      <c r="J178" s="235"/>
      <c r="K178" s="201"/>
      <c r="L178" s="171"/>
      <c r="M178" s="171"/>
      <c r="N178" s="171"/>
      <c r="O178" s="202"/>
      <c r="P178" s="202"/>
      <c r="Q178" s="202"/>
      <c r="R178" s="202"/>
      <c r="S178" s="202"/>
      <c r="T178" s="204"/>
      <c r="U178" s="1011"/>
      <c r="V178" s="203"/>
      <c r="W178" s="203"/>
      <c r="X178" s="201"/>
      <c r="Y178" s="171"/>
      <c r="Z178" s="171"/>
      <c r="AA178" s="171"/>
      <c r="AB178" s="171"/>
      <c r="AC178" s="236"/>
      <c r="AD178" s="236"/>
      <c r="AE178" s="236"/>
      <c r="AF178" s="206"/>
      <c r="AG178" s="206"/>
      <c r="AH178" s="206"/>
      <c r="AI178" s="1013"/>
      <c r="AJ178" s="204"/>
      <c r="AK178" s="205"/>
      <c r="AL178" s="201"/>
      <c r="AM178" s="171"/>
      <c r="AN178" s="171"/>
      <c r="AO178" s="171"/>
      <c r="AP178" s="206"/>
      <c r="AQ178" s="235"/>
      <c r="AR178" s="170"/>
      <c r="AS178" s="171"/>
      <c r="AT178" s="206"/>
      <c r="AU178" s="1013"/>
      <c r="AV178" s="23"/>
      <c r="AW178" s="23"/>
      <c r="AX178" s="23"/>
      <c r="AY178" s="237"/>
      <c r="AZ178" s="235"/>
      <c r="BA178" s="235"/>
      <c r="BB178" s="225"/>
      <c r="BC178" s="225"/>
      <c r="BD178" s="171"/>
      <c r="BE178" s="238"/>
      <c r="BF178" s="226"/>
      <c r="BG178" s="226"/>
      <c r="BH178" s="226"/>
      <c r="BI178" s="226"/>
      <c r="BJ178" s="226"/>
      <c r="BK178" s="1011"/>
      <c r="BL178" s="238"/>
      <c r="BM178" s="238"/>
      <c r="BN178" s="225"/>
      <c r="BO178" s="226"/>
      <c r="BP178" s="226"/>
      <c r="BQ178" s="226"/>
      <c r="BR178" s="226"/>
      <c r="BS178" s="238"/>
      <c r="BT178" s="238"/>
      <c r="BU178" s="226"/>
      <c r="BV178" s="238"/>
      <c r="BW178" s="238"/>
      <c r="BX178" s="239"/>
      <c r="BY178" s="1013"/>
      <c r="BZ178" s="226"/>
      <c r="CA178" s="227"/>
      <c r="CB178" s="226"/>
      <c r="CC178" s="171"/>
      <c r="CD178" s="217"/>
      <c r="CE178" s="217"/>
      <c r="CF178" s="239"/>
      <c r="CG178" s="238"/>
      <c r="CH178" s="226"/>
      <c r="CI178" s="226"/>
      <c r="CJ178" s="239"/>
      <c r="CK178" s="1013"/>
    </row>
    <row r="179" spans="8:89">
      <c r="H179" s="182"/>
      <c r="I179" s="183"/>
      <c r="J179" s="229"/>
      <c r="K179" s="185"/>
      <c r="L179" s="186"/>
      <c r="M179" s="186"/>
      <c r="N179" s="186"/>
      <c r="O179" s="187"/>
      <c r="P179" s="187"/>
      <c r="Q179" s="187"/>
      <c r="R179" s="187"/>
      <c r="S179" s="187"/>
      <c r="T179" s="189"/>
      <c r="U179" s="1010"/>
      <c r="V179" s="188"/>
      <c r="W179" s="188"/>
      <c r="X179" s="185"/>
      <c r="Y179" s="186"/>
      <c r="Z179" s="186"/>
      <c r="AA179" s="186"/>
      <c r="AB179" s="186"/>
      <c r="AC179" s="230"/>
      <c r="AD179" s="230"/>
      <c r="AE179" s="230"/>
      <c r="AF179" s="199"/>
      <c r="AG179" s="199"/>
      <c r="AH179" s="199"/>
      <c r="AI179" s="1012"/>
      <c r="AJ179" s="189"/>
      <c r="AK179" s="190"/>
      <c r="AL179" s="185"/>
      <c r="AM179" s="186"/>
      <c r="AN179" s="186"/>
      <c r="AO179" s="186"/>
      <c r="AP179" s="199"/>
      <c r="AQ179" s="229"/>
      <c r="AR179" s="198"/>
      <c r="AS179" s="186"/>
      <c r="AT179" s="199"/>
      <c r="AU179" s="1012"/>
      <c r="AV179" s="23"/>
      <c r="AW179" s="23"/>
      <c r="AX179" s="23"/>
      <c r="AY179" s="231"/>
      <c r="AZ179" s="229"/>
      <c r="BA179" s="229"/>
      <c r="BB179" s="219"/>
      <c r="BC179" s="219"/>
      <c r="BD179" s="186"/>
      <c r="BE179" s="232"/>
      <c r="BF179" s="220"/>
      <c r="BG179" s="220"/>
      <c r="BH179" s="220"/>
      <c r="BI179" s="220"/>
      <c r="BJ179" s="220"/>
      <c r="BK179" s="1010"/>
      <c r="BL179" s="232"/>
      <c r="BM179" s="232"/>
      <c r="BN179" s="219"/>
      <c r="BO179" s="220"/>
      <c r="BP179" s="220"/>
      <c r="BQ179" s="220"/>
      <c r="BR179" s="220"/>
      <c r="BS179" s="220"/>
      <c r="BT179" s="220"/>
      <c r="BU179" s="220"/>
      <c r="BV179" s="220"/>
      <c r="BW179" s="220"/>
      <c r="BX179" s="233"/>
      <c r="BY179" s="1012"/>
      <c r="BZ179" s="220"/>
      <c r="CA179" s="221"/>
      <c r="CB179" s="220"/>
      <c r="CC179" s="234"/>
      <c r="CD179" s="234"/>
      <c r="CE179" s="234"/>
      <c r="CF179" s="233"/>
      <c r="CG179" s="232"/>
      <c r="CH179" s="220"/>
      <c r="CI179" s="220"/>
      <c r="CJ179" s="233"/>
      <c r="CK179" s="1012"/>
    </row>
    <row r="180" spans="8:89">
      <c r="H180" s="182"/>
      <c r="I180" s="200"/>
      <c r="J180" s="235"/>
      <c r="K180" s="201"/>
      <c r="L180" s="171"/>
      <c r="M180" s="171"/>
      <c r="N180" s="171"/>
      <c r="O180" s="202"/>
      <c r="P180" s="202"/>
      <c r="Q180" s="202"/>
      <c r="R180" s="202"/>
      <c r="S180" s="202"/>
      <c r="T180" s="204"/>
      <c r="U180" s="1011"/>
      <c r="V180" s="203"/>
      <c r="W180" s="203"/>
      <c r="X180" s="201"/>
      <c r="Y180" s="171"/>
      <c r="Z180" s="171"/>
      <c r="AA180" s="171"/>
      <c r="AB180" s="171"/>
      <c r="AC180" s="236"/>
      <c r="AD180" s="236"/>
      <c r="AE180" s="236"/>
      <c r="AF180" s="206"/>
      <c r="AG180" s="206"/>
      <c r="AH180" s="206"/>
      <c r="AI180" s="1013"/>
      <c r="AJ180" s="204"/>
      <c r="AK180" s="205"/>
      <c r="AL180" s="201"/>
      <c r="AM180" s="171"/>
      <c r="AN180" s="171"/>
      <c r="AO180" s="171"/>
      <c r="AP180" s="206"/>
      <c r="AQ180" s="235"/>
      <c r="AR180" s="170"/>
      <c r="AS180" s="171"/>
      <c r="AT180" s="206"/>
      <c r="AU180" s="1013"/>
      <c r="AV180" s="23"/>
      <c r="AW180" s="23"/>
      <c r="AX180" s="23"/>
      <c r="AY180" s="237"/>
      <c r="AZ180" s="235"/>
      <c r="BA180" s="235"/>
      <c r="BB180" s="225"/>
      <c r="BC180" s="225"/>
      <c r="BD180" s="171"/>
      <c r="BE180" s="238"/>
      <c r="BF180" s="226"/>
      <c r="BG180" s="226"/>
      <c r="BH180" s="226"/>
      <c r="BI180" s="226"/>
      <c r="BJ180" s="226"/>
      <c r="BK180" s="1011"/>
      <c r="BL180" s="238"/>
      <c r="BM180" s="238"/>
      <c r="BN180" s="225"/>
      <c r="BO180" s="226"/>
      <c r="BP180" s="226"/>
      <c r="BQ180" s="226"/>
      <c r="BR180" s="226"/>
      <c r="BS180" s="238"/>
      <c r="BT180" s="238"/>
      <c r="BU180" s="226"/>
      <c r="BV180" s="238"/>
      <c r="BW180" s="238"/>
      <c r="BX180" s="239"/>
      <c r="BY180" s="1013"/>
      <c r="BZ180" s="226"/>
      <c r="CA180" s="227"/>
      <c r="CB180" s="226"/>
      <c r="CC180" s="171"/>
      <c r="CD180" s="217"/>
      <c r="CE180" s="217"/>
      <c r="CF180" s="239"/>
      <c r="CG180" s="238"/>
      <c r="CH180" s="223"/>
      <c r="CI180" s="226"/>
      <c r="CJ180" s="239"/>
      <c r="CK180" s="1013"/>
    </row>
    <row r="181" spans="8:89">
      <c r="H181" s="182"/>
      <c r="I181" s="183"/>
      <c r="J181" s="229"/>
      <c r="K181" s="185"/>
      <c r="L181" s="186"/>
      <c r="M181" s="186"/>
      <c r="N181" s="186"/>
      <c r="O181" s="187"/>
      <c r="P181" s="187"/>
      <c r="Q181" s="187"/>
      <c r="R181" s="187"/>
      <c r="S181" s="187"/>
      <c r="T181" s="189"/>
      <c r="U181" s="1010"/>
      <c r="V181" s="188"/>
      <c r="W181" s="188"/>
      <c r="X181" s="185"/>
      <c r="Y181" s="186"/>
      <c r="Z181" s="186"/>
      <c r="AA181" s="186"/>
      <c r="AB181" s="186"/>
      <c r="AC181" s="230"/>
      <c r="AD181" s="230"/>
      <c r="AE181" s="230"/>
      <c r="AF181" s="199"/>
      <c r="AG181" s="199"/>
      <c r="AH181" s="199"/>
      <c r="AI181" s="1012"/>
      <c r="AJ181" s="189"/>
      <c r="AK181" s="190"/>
      <c r="AL181" s="185"/>
      <c r="AM181" s="186"/>
      <c r="AN181" s="186"/>
      <c r="AO181" s="186"/>
      <c r="AP181" s="199"/>
      <c r="AQ181" s="229"/>
      <c r="AR181" s="198"/>
      <c r="AS181" s="186"/>
      <c r="AT181" s="199"/>
      <c r="AU181" s="1012"/>
      <c r="AV181" s="23"/>
      <c r="AW181" s="23"/>
      <c r="AX181" s="23"/>
      <c r="AY181" s="231"/>
      <c r="AZ181" s="229"/>
      <c r="BA181" s="229"/>
      <c r="BB181" s="219"/>
      <c r="BC181" s="219"/>
      <c r="BD181" s="186"/>
      <c r="BE181" s="232"/>
      <c r="BF181" s="220"/>
      <c r="BG181" s="220"/>
      <c r="BH181" s="220"/>
      <c r="BI181" s="220"/>
      <c r="BJ181" s="220"/>
      <c r="BK181" s="1010"/>
      <c r="BL181" s="232"/>
      <c r="BM181" s="232"/>
      <c r="BN181" s="219"/>
      <c r="BO181" s="220"/>
      <c r="BP181" s="220"/>
      <c r="BQ181" s="220"/>
      <c r="BR181" s="220"/>
      <c r="BS181" s="220"/>
      <c r="BT181" s="220"/>
      <c r="BU181" s="220"/>
      <c r="BV181" s="220"/>
      <c r="BW181" s="220"/>
      <c r="BX181" s="233"/>
      <c r="BY181" s="1012"/>
      <c r="BZ181" s="220"/>
      <c r="CA181" s="221"/>
      <c r="CB181" s="220"/>
      <c r="CC181" s="234"/>
      <c r="CD181" s="234"/>
      <c r="CE181" s="234"/>
      <c r="CF181" s="233"/>
      <c r="CG181" s="232"/>
      <c r="CH181" s="220"/>
      <c r="CI181" s="220"/>
      <c r="CJ181" s="233"/>
      <c r="CK181" s="1012"/>
    </row>
    <row r="182" spans="8:89">
      <c r="H182" s="182"/>
      <c r="I182" s="200"/>
      <c r="J182" s="235"/>
      <c r="K182" s="201"/>
      <c r="L182" s="171"/>
      <c r="M182" s="171"/>
      <c r="N182" s="171"/>
      <c r="O182" s="202"/>
      <c r="P182" s="202"/>
      <c r="Q182" s="202"/>
      <c r="R182" s="202"/>
      <c r="S182" s="202"/>
      <c r="T182" s="204"/>
      <c r="U182" s="1011"/>
      <c r="V182" s="203"/>
      <c r="W182" s="203"/>
      <c r="X182" s="201"/>
      <c r="Y182" s="171"/>
      <c r="Z182" s="171"/>
      <c r="AA182" s="171"/>
      <c r="AB182" s="171"/>
      <c r="AC182" s="236"/>
      <c r="AD182" s="236"/>
      <c r="AE182" s="236"/>
      <c r="AF182" s="206"/>
      <c r="AG182" s="206"/>
      <c r="AH182" s="206"/>
      <c r="AI182" s="1013"/>
      <c r="AJ182" s="204"/>
      <c r="AK182" s="205"/>
      <c r="AL182" s="201"/>
      <c r="AM182" s="171"/>
      <c r="AN182" s="171"/>
      <c r="AO182" s="171"/>
      <c r="AP182" s="206"/>
      <c r="AQ182" s="235"/>
      <c r="AR182" s="170"/>
      <c r="AS182" s="171"/>
      <c r="AT182" s="206"/>
      <c r="AU182" s="1013"/>
      <c r="AV182" s="23"/>
      <c r="AW182" s="23"/>
      <c r="AX182" s="23"/>
      <c r="AY182" s="240"/>
      <c r="AZ182" s="181"/>
      <c r="BA182" s="181"/>
      <c r="BB182" s="222"/>
      <c r="BC182" s="222"/>
      <c r="BD182" s="174"/>
      <c r="BE182" s="241"/>
      <c r="BF182" s="223"/>
      <c r="BG182" s="223"/>
      <c r="BH182" s="223"/>
      <c r="BI182" s="223"/>
      <c r="BJ182" s="223"/>
      <c r="BK182" s="1011"/>
      <c r="BL182" s="241"/>
      <c r="BM182" s="241"/>
      <c r="BN182" s="222"/>
      <c r="BO182" s="223"/>
      <c r="BP182" s="223"/>
      <c r="BQ182" s="223"/>
      <c r="BR182" s="223"/>
      <c r="BS182" s="241"/>
      <c r="BT182" s="241"/>
      <c r="BU182" s="223"/>
      <c r="BV182" s="241"/>
      <c r="BW182" s="241"/>
      <c r="BX182" s="242"/>
      <c r="BY182" s="1013"/>
      <c r="BZ182" s="223"/>
      <c r="CA182" s="224"/>
      <c r="CB182" s="223"/>
      <c r="CC182" s="174"/>
      <c r="CD182" s="243"/>
      <c r="CE182" s="243"/>
      <c r="CF182" s="242"/>
      <c r="CG182" s="241"/>
      <c r="CH182" s="226"/>
      <c r="CI182" s="223"/>
      <c r="CJ182" s="242"/>
      <c r="CK182" s="1013"/>
    </row>
    <row r="183" spans="8:89">
      <c r="H183" s="182"/>
      <c r="I183" s="183"/>
      <c r="J183" s="229"/>
      <c r="K183" s="185"/>
      <c r="L183" s="186"/>
      <c r="M183" s="186"/>
      <c r="N183" s="186"/>
      <c r="O183" s="187"/>
      <c r="P183" s="187"/>
      <c r="Q183" s="187"/>
      <c r="R183" s="187"/>
      <c r="S183" s="187"/>
      <c r="T183" s="189"/>
      <c r="U183" s="1010"/>
      <c r="V183" s="188"/>
      <c r="W183" s="188"/>
      <c r="X183" s="185"/>
      <c r="Y183" s="186"/>
      <c r="Z183" s="186"/>
      <c r="AA183" s="186"/>
      <c r="AB183" s="186"/>
      <c r="AC183" s="230"/>
      <c r="AD183" s="230"/>
      <c r="AE183" s="230"/>
      <c r="AF183" s="199"/>
      <c r="AG183" s="199"/>
      <c r="AH183" s="199"/>
      <c r="AI183" s="1012"/>
      <c r="AJ183" s="189"/>
      <c r="AK183" s="190"/>
      <c r="AL183" s="185"/>
      <c r="AM183" s="186"/>
      <c r="AN183" s="186"/>
      <c r="AO183" s="186"/>
      <c r="AP183" s="199"/>
      <c r="AQ183" s="229"/>
      <c r="AR183" s="198"/>
      <c r="AS183" s="186"/>
      <c r="AT183" s="199"/>
      <c r="AU183" s="1012"/>
      <c r="AV183" s="23"/>
      <c r="AW183" s="23"/>
      <c r="AX183" s="23"/>
      <c r="AY183" s="231"/>
      <c r="AZ183" s="229"/>
      <c r="BA183" s="229"/>
      <c r="BB183" s="219"/>
      <c r="BC183" s="219"/>
      <c r="BD183" s="186"/>
      <c r="BE183" s="232"/>
      <c r="BF183" s="220"/>
      <c r="BG183" s="220"/>
      <c r="BH183" s="220"/>
      <c r="BI183" s="220"/>
      <c r="BJ183" s="220"/>
      <c r="BK183" s="1010"/>
      <c r="BL183" s="232"/>
      <c r="BM183" s="232"/>
      <c r="BN183" s="219"/>
      <c r="BO183" s="220"/>
      <c r="BP183" s="220"/>
      <c r="BQ183" s="220"/>
      <c r="BR183" s="220"/>
      <c r="BS183" s="220"/>
      <c r="BT183" s="220"/>
      <c r="BU183" s="220"/>
      <c r="BV183" s="220"/>
      <c r="BW183" s="220"/>
      <c r="BX183" s="233"/>
      <c r="BY183" s="1012"/>
      <c r="BZ183" s="220"/>
      <c r="CA183" s="221"/>
      <c r="CB183" s="220"/>
      <c r="CC183" s="234"/>
      <c r="CD183" s="234"/>
      <c r="CE183" s="234"/>
      <c r="CF183" s="233"/>
      <c r="CG183" s="232"/>
      <c r="CH183" s="220"/>
      <c r="CI183" s="220"/>
      <c r="CJ183" s="233"/>
      <c r="CK183" s="1012"/>
    </row>
    <row r="184" spans="8:89">
      <c r="H184" s="182"/>
      <c r="I184" s="200"/>
      <c r="J184" s="235"/>
      <c r="K184" s="201"/>
      <c r="L184" s="171"/>
      <c r="M184" s="171"/>
      <c r="N184" s="171"/>
      <c r="O184" s="202"/>
      <c r="P184" s="202"/>
      <c r="Q184" s="202"/>
      <c r="R184" s="202"/>
      <c r="S184" s="202"/>
      <c r="T184" s="204"/>
      <c r="U184" s="1011"/>
      <c r="V184" s="203"/>
      <c r="W184" s="203"/>
      <c r="X184" s="201"/>
      <c r="Y184" s="171"/>
      <c r="Z184" s="171"/>
      <c r="AA184" s="171"/>
      <c r="AB184" s="171"/>
      <c r="AC184" s="236"/>
      <c r="AD184" s="236"/>
      <c r="AE184" s="236"/>
      <c r="AF184" s="206"/>
      <c r="AG184" s="206"/>
      <c r="AH184" s="206"/>
      <c r="AI184" s="1013"/>
      <c r="AJ184" s="204"/>
      <c r="AK184" s="205"/>
      <c r="AL184" s="201"/>
      <c r="AM184" s="171"/>
      <c r="AN184" s="171"/>
      <c r="AO184" s="171"/>
      <c r="AP184" s="206"/>
      <c r="AQ184" s="235"/>
      <c r="AR184" s="170"/>
      <c r="AS184" s="171"/>
      <c r="AT184" s="206"/>
      <c r="AU184" s="1013"/>
      <c r="AV184" s="23"/>
      <c r="AW184" s="23"/>
      <c r="AX184" s="23"/>
      <c r="AY184" s="237"/>
      <c r="AZ184" s="235"/>
      <c r="BA184" s="235"/>
      <c r="BB184" s="225"/>
      <c r="BC184" s="225"/>
      <c r="BD184" s="171"/>
      <c r="BE184" s="238"/>
      <c r="BF184" s="226"/>
      <c r="BG184" s="226"/>
      <c r="BH184" s="226"/>
      <c r="BI184" s="226"/>
      <c r="BJ184" s="226"/>
      <c r="BK184" s="1011"/>
      <c r="BL184" s="238"/>
      <c r="BM184" s="238"/>
      <c r="BN184" s="225"/>
      <c r="BO184" s="226"/>
      <c r="BP184" s="226"/>
      <c r="BQ184" s="226"/>
      <c r="BR184" s="226"/>
      <c r="BS184" s="238"/>
      <c r="BT184" s="238"/>
      <c r="BU184" s="226"/>
      <c r="BV184" s="238"/>
      <c r="BW184" s="238"/>
      <c r="BX184" s="239"/>
      <c r="BY184" s="1013"/>
      <c r="BZ184" s="226"/>
      <c r="CA184" s="227"/>
      <c r="CB184" s="226"/>
      <c r="CC184" s="171"/>
      <c r="CD184" s="217"/>
      <c r="CE184" s="217"/>
      <c r="CF184" s="239"/>
      <c r="CG184" s="238"/>
      <c r="CH184" s="223"/>
      <c r="CI184" s="226"/>
      <c r="CJ184" s="239"/>
      <c r="CK184" s="1013"/>
    </row>
    <row r="185" spans="8:89">
      <c r="H185" s="182"/>
      <c r="I185" s="183"/>
      <c r="J185" s="229"/>
      <c r="K185" s="185"/>
      <c r="L185" s="186"/>
      <c r="M185" s="186"/>
      <c r="N185" s="186"/>
      <c r="O185" s="187"/>
      <c r="P185" s="187"/>
      <c r="Q185" s="187"/>
      <c r="R185" s="187"/>
      <c r="S185" s="187"/>
      <c r="T185" s="189"/>
      <c r="U185" s="1010"/>
      <c r="V185" s="188"/>
      <c r="W185" s="188"/>
      <c r="X185" s="185"/>
      <c r="Y185" s="186"/>
      <c r="Z185" s="186"/>
      <c r="AA185" s="186"/>
      <c r="AB185" s="186"/>
      <c r="AC185" s="230"/>
      <c r="AD185" s="230"/>
      <c r="AE185" s="230"/>
      <c r="AF185" s="199"/>
      <c r="AG185" s="199"/>
      <c r="AH185" s="199"/>
      <c r="AI185" s="1012"/>
      <c r="AJ185" s="189"/>
      <c r="AK185" s="190"/>
      <c r="AL185" s="185"/>
      <c r="AM185" s="186"/>
      <c r="AN185" s="186"/>
      <c r="AO185" s="186"/>
      <c r="AP185" s="199"/>
      <c r="AQ185" s="229"/>
      <c r="AR185" s="198"/>
      <c r="AS185" s="186"/>
      <c r="AT185" s="199"/>
      <c r="AU185" s="1012"/>
      <c r="AV185" s="23"/>
      <c r="AW185" s="23"/>
      <c r="AX185" s="23"/>
      <c r="AY185" s="231"/>
      <c r="AZ185" s="229"/>
      <c r="BA185" s="229"/>
      <c r="BB185" s="219"/>
      <c r="BC185" s="219"/>
      <c r="BD185" s="186"/>
      <c r="BE185" s="232"/>
      <c r="BF185" s="220"/>
      <c r="BG185" s="220"/>
      <c r="BH185" s="220"/>
      <c r="BI185" s="220"/>
      <c r="BJ185" s="220"/>
      <c r="BK185" s="1010"/>
      <c r="BL185" s="232"/>
      <c r="BM185" s="232"/>
      <c r="BN185" s="219"/>
      <c r="BO185" s="220"/>
      <c r="BP185" s="220"/>
      <c r="BQ185" s="220"/>
      <c r="BR185" s="220"/>
      <c r="BS185" s="220"/>
      <c r="BT185" s="220"/>
      <c r="BU185" s="220"/>
      <c r="BV185" s="220"/>
      <c r="BW185" s="220"/>
      <c r="BX185" s="233"/>
      <c r="BY185" s="1012"/>
      <c r="BZ185" s="220"/>
      <c r="CA185" s="221"/>
      <c r="CB185" s="220"/>
      <c r="CC185" s="234"/>
      <c r="CD185" s="234"/>
      <c r="CE185" s="234"/>
      <c r="CF185" s="233"/>
      <c r="CG185" s="232"/>
      <c r="CH185" s="220"/>
      <c r="CI185" s="220"/>
      <c r="CJ185" s="233"/>
      <c r="CK185" s="1012"/>
    </row>
    <row r="186" spans="8:89">
      <c r="H186" s="182"/>
      <c r="I186" s="200"/>
      <c r="J186" s="235"/>
      <c r="K186" s="201"/>
      <c r="L186" s="171"/>
      <c r="M186" s="171"/>
      <c r="N186" s="171"/>
      <c r="O186" s="202"/>
      <c r="P186" s="202"/>
      <c r="Q186" s="202"/>
      <c r="R186" s="202"/>
      <c r="S186" s="202"/>
      <c r="T186" s="204"/>
      <c r="U186" s="1011"/>
      <c r="V186" s="203"/>
      <c r="W186" s="203"/>
      <c r="X186" s="201"/>
      <c r="Y186" s="171"/>
      <c r="Z186" s="171"/>
      <c r="AA186" s="171"/>
      <c r="AB186" s="171"/>
      <c r="AC186" s="236"/>
      <c r="AD186" s="236"/>
      <c r="AE186" s="236"/>
      <c r="AF186" s="206"/>
      <c r="AG186" s="206"/>
      <c r="AH186" s="206"/>
      <c r="AI186" s="1013"/>
      <c r="AJ186" s="204"/>
      <c r="AK186" s="205"/>
      <c r="AL186" s="201"/>
      <c r="AM186" s="171"/>
      <c r="AN186" s="171"/>
      <c r="AO186" s="171"/>
      <c r="AP186" s="206"/>
      <c r="AQ186" s="235"/>
      <c r="AR186" s="170"/>
      <c r="AS186" s="171"/>
      <c r="AT186" s="206"/>
      <c r="AU186" s="1013"/>
      <c r="AV186" s="23"/>
      <c r="AW186" s="23"/>
      <c r="AX186" s="23"/>
      <c r="AY186" s="237"/>
      <c r="AZ186" s="235"/>
      <c r="BA186" s="235"/>
      <c r="BB186" s="225"/>
      <c r="BC186" s="225"/>
      <c r="BD186" s="171"/>
      <c r="BE186" s="238"/>
      <c r="BF186" s="226"/>
      <c r="BG186" s="226"/>
      <c r="BH186" s="226"/>
      <c r="BI186" s="226"/>
      <c r="BJ186" s="226"/>
      <c r="BK186" s="1011"/>
      <c r="BL186" s="238"/>
      <c r="BM186" s="238"/>
      <c r="BN186" s="225"/>
      <c r="BO186" s="226"/>
      <c r="BP186" s="226"/>
      <c r="BQ186" s="226"/>
      <c r="BR186" s="226"/>
      <c r="BS186" s="238"/>
      <c r="BT186" s="238"/>
      <c r="BU186" s="226"/>
      <c r="BV186" s="238"/>
      <c r="BW186" s="238"/>
      <c r="BX186" s="239"/>
      <c r="BY186" s="1013"/>
      <c r="BZ186" s="226"/>
      <c r="CA186" s="227"/>
      <c r="CB186" s="226"/>
      <c r="CC186" s="171"/>
      <c r="CD186" s="217"/>
      <c r="CE186" s="217"/>
      <c r="CF186" s="239"/>
      <c r="CG186" s="238"/>
      <c r="CH186" s="226"/>
      <c r="CI186" s="226"/>
      <c r="CJ186" s="239"/>
      <c r="CK186" s="1013"/>
    </row>
    <row r="187" spans="8:89">
      <c r="H187" s="182"/>
      <c r="I187" s="183"/>
      <c r="J187" s="229"/>
      <c r="K187" s="185"/>
      <c r="L187" s="186"/>
      <c r="M187" s="186"/>
      <c r="N187" s="186"/>
      <c r="O187" s="187"/>
      <c r="P187" s="187"/>
      <c r="Q187" s="187"/>
      <c r="R187" s="187"/>
      <c r="S187" s="187"/>
      <c r="T187" s="189"/>
      <c r="U187" s="1010"/>
      <c r="V187" s="188"/>
      <c r="W187" s="188"/>
      <c r="X187" s="185"/>
      <c r="Y187" s="186"/>
      <c r="Z187" s="186"/>
      <c r="AA187" s="186"/>
      <c r="AB187" s="186"/>
      <c r="AC187" s="230"/>
      <c r="AD187" s="230"/>
      <c r="AE187" s="230"/>
      <c r="AF187" s="199"/>
      <c r="AG187" s="199"/>
      <c r="AH187" s="199"/>
      <c r="AI187" s="1012"/>
      <c r="AJ187" s="189"/>
      <c r="AK187" s="190"/>
      <c r="AL187" s="185"/>
      <c r="AM187" s="186"/>
      <c r="AN187" s="186"/>
      <c r="AO187" s="186"/>
      <c r="AP187" s="199"/>
      <c r="AQ187" s="229"/>
      <c r="AR187" s="198"/>
      <c r="AS187" s="186"/>
      <c r="AT187" s="199"/>
      <c r="AU187" s="1012"/>
      <c r="AV187" s="23"/>
      <c r="AW187" s="23"/>
      <c r="AX187" s="23"/>
      <c r="AY187" s="231"/>
      <c r="AZ187" s="229"/>
      <c r="BA187" s="229"/>
      <c r="BB187" s="219"/>
      <c r="BC187" s="219"/>
      <c r="BD187" s="186"/>
      <c r="BE187" s="232"/>
      <c r="BF187" s="220"/>
      <c r="BG187" s="220"/>
      <c r="BH187" s="220"/>
      <c r="BI187" s="220"/>
      <c r="BJ187" s="220"/>
      <c r="BK187" s="1010"/>
      <c r="BL187" s="232"/>
      <c r="BM187" s="232"/>
      <c r="BN187" s="219"/>
      <c r="BO187" s="220"/>
      <c r="BP187" s="220"/>
      <c r="BQ187" s="220"/>
      <c r="BR187" s="220"/>
      <c r="BS187" s="220"/>
      <c r="BT187" s="220"/>
      <c r="BU187" s="220"/>
      <c r="BV187" s="220"/>
      <c r="BW187" s="220"/>
      <c r="BX187" s="233"/>
      <c r="BY187" s="1012"/>
      <c r="BZ187" s="220"/>
      <c r="CA187" s="221"/>
      <c r="CB187" s="220"/>
      <c r="CC187" s="234"/>
      <c r="CD187" s="234"/>
      <c r="CE187" s="234"/>
      <c r="CF187" s="233"/>
      <c r="CG187" s="232"/>
      <c r="CH187" s="220"/>
      <c r="CI187" s="220"/>
      <c r="CJ187" s="233"/>
      <c r="CK187" s="1012"/>
    </row>
    <row r="188" spans="8:89">
      <c r="H188" s="182"/>
      <c r="I188" s="200"/>
      <c r="J188" s="235"/>
      <c r="K188" s="201"/>
      <c r="L188" s="171"/>
      <c r="M188" s="171"/>
      <c r="N188" s="171"/>
      <c r="O188" s="202"/>
      <c r="P188" s="202"/>
      <c r="Q188" s="202"/>
      <c r="R188" s="202"/>
      <c r="S188" s="202"/>
      <c r="T188" s="204"/>
      <c r="U188" s="1011"/>
      <c r="V188" s="203"/>
      <c r="W188" s="203"/>
      <c r="X188" s="201"/>
      <c r="Y188" s="171"/>
      <c r="Z188" s="171"/>
      <c r="AA188" s="171"/>
      <c r="AB188" s="171"/>
      <c r="AC188" s="236"/>
      <c r="AD188" s="236"/>
      <c r="AE188" s="236"/>
      <c r="AF188" s="206"/>
      <c r="AG188" s="206"/>
      <c r="AH188" s="206"/>
      <c r="AI188" s="1013"/>
      <c r="AJ188" s="204"/>
      <c r="AK188" s="205"/>
      <c r="AL188" s="201"/>
      <c r="AM188" s="171"/>
      <c r="AN188" s="171"/>
      <c r="AO188" s="171"/>
      <c r="AP188" s="206"/>
      <c r="AQ188" s="235"/>
      <c r="AR188" s="170"/>
      <c r="AS188" s="171"/>
      <c r="AT188" s="206"/>
      <c r="AU188" s="1013"/>
      <c r="AV188" s="23"/>
      <c r="AW188" s="23"/>
      <c r="AX188" s="23"/>
      <c r="AY188" s="237"/>
      <c r="AZ188" s="235"/>
      <c r="BA188" s="235"/>
      <c r="BB188" s="225"/>
      <c r="BC188" s="225"/>
      <c r="BD188" s="171"/>
      <c r="BE188" s="238"/>
      <c r="BF188" s="226"/>
      <c r="BG188" s="226"/>
      <c r="BH188" s="226"/>
      <c r="BI188" s="226"/>
      <c r="BJ188" s="226"/>
      <c r="BK188" s="1011"/>
      <c r="BL188" s="238"/>
      <c r="BM188" s="238"/>
      <c r="BN188" s="225"/>
      <c r="BO188" s="226"/>
      <c r="BP188" s="226"/>
      <c r="BQ188" s="226"/>
      <c r="BR188" s="226"/>
      <c r="BS188" s="238"/>
      <c r="BT188" s="238"/>
      <c r="BU188" s="226"/>
      <c r="BV188" s="238"/>
      <c r="BW188" s="238"/>
      <c r="BX188" s="239"/>
      <c r="BY188" s="1013"/>
      <c r="BZ188" s="226"/>
      <c r="CA188" s="227"/>
      <c r="CB188" s="226"/>
      <c r="CC188" s="171"/>
      <c r="CD188" s="217"/>
      <c r="CE188" s="217"/>
      <c r="CF188" s="239"/>
      <c r="CG188" s="238"/>
      <c r="CH188" s="223"/>
      <c r="CI188" s="226"/>
      <c r="CJ188" s="239"/>
      <c r="CK188" s="1013"/>
    </row>
    <row r="189" spans="8:89">
      <c r="H189" s="182"/>
      <c r="I189" s="183"/>
      <c r="J189" s="229"/>
      <c r="K189" s="185"/>
      <c r="L189" s="186"/>
      <c r="M189" s="186"/>
      <c r="N189" s="186"/>
      <c r="O189" s="187"/>
      <c r="P189" s="187"/>
      <c r="Q189" s="187"/>
      <c r="R189" s="187"/>
      <c r="S189" s="187"/>
      <c r="T189" s="189"/>
      <c r="U189" s="1010"/>
      <c r="V189" s="188"/>
      <c r="W189" s="188"/>
      <c r="X189" s="185"/>
      <c r="Y189" s="186"/>
      <c r="Z189" s="186"/>
      <c r="AA189" s="186"/>
      <c r="AB189" s="186"/>
      <c r="AC189" s="230"/>
      <c r="AD189" s="230"/>
      <c r="AE189" s="230"/>
      <c r="AF189" s="199"/>
      <c r="AG189" s="199"/>
      <c r="AH189" s="199"/>
      <c r="AI189" s="1012"/>
      <c r="AJ189" s="189"/>
      <c r="AK189" s="190"/>
      <c r="AL189" s="185"/>
      <c r="AM189" s="186"/>
      <c r="AN189" s="186"/>
      <c r="AO189" s="186"/>
      <c r="AP189" s="199"/>
      <c r="AQ189" s="229"/>
      <c r="AR189" s="198"/>
      <c r="AS189" s="186"/>
      <c r="AT189" s="199"/>
      <c r="AU189" s="1012"/>
      <c r="AV189" s="23"/>
      <c r="AW189" s="23"/>
      <c r="AX189" s="23"/>
      <c r="AY189" s="231"/>
      <c r="AZ189" s="229"/>
      <c r="BA189" s="229"/>
      <c r="BB189" s="219"/>
      <c r="BC189" s="219"/>
      <c r="BD189" s="186"/>
      <c r="BE189" s="232"/>
      <c r="BF189" s="220"/>
      <c r="BG189" s="220"/>
      <c r="BH189" s="220"/>
      <c r="BI189" s="220"/>
      <c r="BJ189" s="220"/>
      <c r="BK189" s="1010"/>
      <c r="BL189" s="232"/>
      <c r="BM189" s="232"/>
      <c r="BN189" s="219"/>
      <c r="BO189" s="220"/>
      <c r="BP189" s="220"/>
      <c r="BQ189" s="220"/>
      <c r="BR189" s="220"/>
      <c r="BS189" s="220"/>
      <c r="BT189" s="220"/>
      <c r="BU189" s="220"/>
      <c r="BV189" s="220"/>
      <c r="BW189" s="220"/>
      <c r="BX189" s="233"/>
      <c r="BY189" s="1012"/>
      <c r="BZ189" s="220"/>
      <c r="CA189" s="221"/>
      <c r="CB189" s="220"/>
      <c r="CC189" s="234"/>
      <c r="CD189" s="234"/>
      <c r="CE189" s="234"/>
      <c r="CF189" s="233"/>
      <c r="CG189" s="232"/>
      <c r="CH189" s="220"/>
      <c r="CI189" s="220"/>
      <c r="CJ189" s="233"/>
      <c r="CK189" s="1012"/>
    </row>
    <row r="190" spans="8:89">
      <c r="H190" s="182"/>
      <c r="I190" s="200"/>
      <c r="J190" s="235"/>
      <c r="K190" s="201"/>
      <c r="L190" s="171"/>
      <c r="M190" s="171"/>
      <c r="N190" s="171"/>
      <c r="O190" s="202"/>
      <c r="P190" s="202"/>
      <c r="Q190" s="202"/>
      <c r="R190" s="202"/>
      <c r="S190" s="202"/>
      <c r="T190" s="204"/>
      <c r="U190" s="1011"/>
      <c r="V190" s="203"/>
      <c r="W190" s="203"/>
      <c r="X190" s="201"/>
      <c r="Y190" s="171"/>
      <c r="Z190" s="171"/>
      <c r="AA190" s="171"/>
      <c r="AB190" s="171"/>
      <c r="AC190" s="236"/>
      <c r="AD190" s="236"/>
      <c r="AE190" s="236"/>
      <c r="AF190" s="206"/>
      <c r="AG190" s="206"/>
      <c r="AH190" s="206"/>
      <c r="AI190" s="1013"/>
      <c r="AJ190" s="204"/>
      <c r="AK190" s="205"/>
      <c r="AL190" s="201"/>
      <c r="AM190" s="171"/>
      <c r="AN190" s="171"/>
      <c r="AO190" s="171"/>
      <c r="AP190" s="206"/>
      <c r="AQ190" s="235"/>
      <c r="AR190" s="170"/>
      <c r="AS190" s="171"/>
      <c r="AT190" s="206"/>
      <c r="AU190" s="1013"/>
      <c r="AV190" s="23"/>
      <c r="AW190" s="23"/>
      <c r="AX190" s="23"/>
      <c r="AY190" s="237"/>
      <c r="AZ190" s="235"/>
      <c r="BA190" s="235"/>
      <c r="BB190" s="225"/>
      <c r="BC190" s="225"/>
      <c r="BD190" s="171"/>
      <c r="BE190" s="238"/>
      <c r="BF190" s="226"/>
      <c r="BG190" s="226"/>
      <c r="BH190" s="226"/>
      <c r="BI190" s="226"/>
      <c r="BJ190" s="226"/>
      <c r="BK190" s="1011"/>
      <c r="BL190" s="238"/>
      <c r="BM190" s="238"/>
      <c r="BN190" s="225"/>
      <c r="BO190" s="226"/>
      <c r="BP190" s="226"/>
      <c r="BQ190" s="226"/>
      <c r="BR190" s="226"/>
      <c r="BS190" s="238"/>
      <c r="BT190" s="238"/>
      <c r="BU190" s="226"/>
      <c r="BV190" s="238"/>
      <c r="BW190" s="238"/>
      <c r="BX190" s="239"/>
      <c r="BY190" s="1013"/>
      <c r="BZ190" s="226"/>
      <c r="CA190" s="227"/>
      <c r="CB190" s="226"/>
      <c r="CC190" s="171"/>
      <c r="CD190" s="217"/>
      <c r="CE190" s="217"/>
      <c r="CF190" s="239"/>
      <c r="CG190" s="238"/>
      <c r="CH190" s="226"/>
      <c r="CI190" s="226"/>
      <c r="CJ190" s="239"/>
      <c r="CK190" s="1013"/>
    </row>
    <row r="191" spans="8:89">
      <c r="H191" s="182"/>
      <c r="I191" s="183"/>
      <c r="J191" s="229"/>
      <c r="K191" s="185"/>
      <c r="L191" s="186"/>
      <c r="M191" s="186"/>
      <c r="N191" s="186"/>
      <c r="O191" s="187"/>
      <c r="P191" s="187"/>
      <c r="Q191" s="187"/>
      <c r="R191" s="187"/>
      <c r="S191" s="187"/>
      <c r="T191" s="189"/>
      <c r="U191" s="1010"/>
      <c r="V191" s="188"/>
      <c r="W191" s="188"/>
      <c r="X191" s="185"/>
      <c r="Y191" s="186"/>
      <c r="Z191" s="186"/>
      <c r="AA191" s="186"/>
      <c r="AB191" s="186"/>
      <c r="AC191" s="230"/>
      <c r="AD191" s="230"/>
      <c r="AE191" s="230"/>
      <c r="AF191" s="199"/>
      <c r="AG191" s="199"/>
      <c r="AH191" s="199"/>
      <c r="AI191" s="1012"/>
      <c r="AJ191" s="189"/>
      <c r="AK191" s="190"/>
      <c r="AL191" s="185"/>
      <c r="AM191" s="186"/>
      <c r="AN191" s="186"/>
      <c r="AO191" s="186"/>
      <c r="AP191" s="199"/>
      <c r="AQ191" s="229"/>
      <c r="AR191" s="198"/>
      <c r="AS191" s="186"/>
      <c r="AT191" s="199"/>
      <c r="AU191" s="1012"/>
      <c r="AV191" s="23"/>
      <c r="AW191" s="23"/>
      <c r="AX191" s="23"/>
      <c r="AY191" s="231"/>
      <c r="AZ191" s="229"/>
      <c r="BA191" s="229"/>
      <c r="BB191" s="219"/>
      <c r="BC191" s="219"/>
      <c r="BD191" s="186"/>
      <c r="BE191" s="232"/>
      <c r="BF191" s="220"/>
      <c r="BG191" s="220"/>
      <c r="BH191" s="220"/>
      <c r="BI191" s="220"/>
      <c r="BJ191" s="220"/>
      <c r="BK191" s="1010"/>
      <c r="BL191" s="232"/>
      <c r="BM191" s="232"/>
      <c r="BN191" s="219"/>
      <c r="BO191" s="220"/>
      <c r="BP191" s="220"/>
      <c r="BQ191" s="220"/>
      <c r="BR191" s="220"/>
      <c r="BS191" s="220"/>
      <c r="BT191" s="220"/>
      <c r="BU191" s="220"/>
      <c r="BV191" s="220"/>
      <c r="BW191" s="220"/>
      <c r="BX191" s="233"/>
      <c r="BY191" s="1012"/>
      <c r="BZ191" s="220"/>
      <c r="CA191" s="221"/>
      <c r="CB191" s="220"/>
      <c r="CC191" s="234"/>
      <c r="CD191" s="234"/>
      <c r="CE191" s="234"/>
      <c r="CF191" s="233"/>
      <c r="CG191" s="232"/>
      <c r="CH191" s="220"/>
      <c r="CI191" s="220"/>
      <c r="CJ191" s="233"/>
      <c r="CK191" s="1012"/>
    </row>
    <row r="192" spans="8:89">
      <c r="H192" s="182"/>
      <c r="I192" s="200"/>
      <c r="J192" s="235"/>
      <c r="K192" s="201"/>
      <c r="L192" s="171"/>
      <c r="M192" s="171"/>
      <c r="N192" s="171"/>
      <c r="O192" s="202"/>
      <c r="P192" s="202"/>
      <c r="Q192" s="202"/>
      <c r="R192" s="202"/>
      <c r="S192" s="202"/>
      <c r="T192" s="204"/>
      <c r="U192" s="1011"/>
      <c r="V192" s="203"/>
      <c r="W192" s="203"/>
      <c r="X192" s="201"/>
      <c r="Y192" s="171"/>
      <c r="Z192" s="171"/>
      <c r="AA192" s="171"/>
      <c r="AB192" s="171"/>
      <c r="AC192" s="236"/>
      <c r="AD192" s="236"/>
      <c r="AE192" s="236"/>
      <c r="AF192" s="206"/>
      <c r="AG192" s="206"/>
      <c r="AH192" s="206"/>
      <c r="AI192" s="1013"/>
      <c r="AJ192" s="204"/>
      <c r="AK192" s="205"/>
      <c r="AL192" s="201"/>
      <c r="AM192" s="171"/>
      <c r="AN192" s="171"/>
      <c r="AO192" s="171"/>
      <c r="AP192" s="206"/>
      <c r="AQ192" s="235"/>
      <c r="AR192" s="170"/>
      <c r="AS192" s="171"/>
      <c r="AT192" s="206"/>
      <c r="AU192" s="1013"/>
      <c r="AV192" s="23"/>
      <c r="AW192" s="23"/>
      <c r="AX192" s="23"/>
      <c r="AY192" s="237"/>
      <c r="AZ192" s="235"/>
      <c r="BA192" s="235"/>
      <c r="BB192" s="225"/>
      <c r="BC192" s="225"/>
      <c r="BD192" s="171"/>
      <c r="BE192" s="238"/>
      <c r="BF192" s="226"/>
      <c r="BG192" s="226"/>
      <c r="BH192" s="226"/>
      <c r="BI192" s="226"/>
      <c r="BJ192" s="226"/>
      <c r="BK192" s="1011"/>
      <c r="BL192" s="238"/>
      <c r="BM192" s="238"/>
      <c r="BN192" s="225"/>
      <c r="BO192" s="226"/>
      <c r="BP192" s="226"/>
      <c r="BQ192" s="226"/>
      <c r="BR192" s="226"/>
      <c r="BS192" s="238"/>
      <c r="BT192" s="238"/>
      <c r="BU192" s="226"/>
      <c r="BV192" s="238"/>
      <c r="BW192" s="238"/>
      <c r="BX192" s="239"/>
      <c r="BY192" s="1013"/>
      <c r="BZ192" s="226"/>
      <c r="CA192" s="227"/>
      <c r="CB192" s="226"/>
      <c r="CC192" s="171"/>
      <c r="CD192" s="217"/>
      <c r="CE192" s="217"/>
      <c r="CF192" s="239"/>
      <c r="CG192" s="238"/>
      <c r="CH192" s="223"/>
      <c r="CI192" s="226"/>
      <c r="CJ192" s="239"/>
      <c r="CK192" s="1013"/>
    </row>
    <row r="193" spans="8:89">
      <c r="H193" s="182"/>
      <c r="I193" s="183"/>
      <c r="J193" s="229"/>
      <c r="K193" s="185"/>
      <c r="L193" s="186"/>
      <c r="M193" s="186"/>
      <c r="N193" s="186"/>
      <c r="O193" s="187"/>
      <c r="P193" s="187"/>
      <c r="Q193" s="187"/>
      <c r="R193" s="187"/>
      <c r="S193" s="187"/>
      <c r="T193" s="189"/>
      <c r="U193" s="1010"/>
      <c r="V193" s="188"/>
      <c r="W193" s="188"/>
      <c r="X193" s="185"/>
      <c r="Y193" s="186"/>
      <c r="Z193" s="186"/>
      <c r="AA193" s="186"/>
      <c r="AB193" s="186"/>
      <c r="AC193" s="230"/>
      <c r="AD193" s="230"/>
      <c r="AE193" s="230"/>
      <c r="AF193" s="199"/>
      <c r="AG193" s="199"/>
      <c r="AH193" s="199"/>
      <c r="AI193" s="1012"/>
      <c r="AJ193" s="189"/>
      <c r="AK193" s="190"/>
      <c r="AL193" s="185"/>
      <c r="AM193" s="186"/>
      <c r="AN193" s="186"/>
      <c r="AO193" s="186"/>
      <c r="AP193" s="199"/>
      <c r="AQ193" s="229"/>
      <c r="AR193" s="198"/>
      <c r="AS193" s="186"/>
      <c r="AT193" s="199"/>
      <c r="AU193" s="1012"/>
      <c r="AV193" s="23"/>
      <c r="AW193" s="23"/>
      <c r="AX193" s="23"/>
      <c r="AY193" s="231"/>
      <c r="AZ193" s="229"/>
      <c r="BA193" s="229"/>
      <c r="BB193" s="219"/>
      <c r="BC193" s="219"/>
      <c r="BD193" s="186"/>
      <c r="BE193" s="232"/>
      <c r="BF193" s="220"/>
      <c r="BG193" s="220"/>
      <c r="BH193" s="220"/>
      <c r="BI193" s="220"/>
      <c r="BJ193" s="220"/>
      <c r="BK193" s="1010"/>
      <c r="BL193" s="232"/>
      <c r="BM193" s="232"/>
      <c r="BN193" s="219"/>
      <c r="BO193" s="220"/>
      <c r="BP193" s="220"/>
      <c r="BQ193" s="220"/>
      <c r="BR193" s="220"/>
      <c r="BS193" s="220"/>
      <c r="BT193" s="220"/>
      <c r="BU193" s="220"/>
      <c r="BV193" s="220"/>
      <c r="BW193" s="220"/>
      <c r="BX193" s="233"/>
      <c r="BY193" s="1012"/>
      <c r="BZ193" s="220"/>
      <c r="CA193" s="221"/>
      <c r="CB193" s="220"/>
      <c r="CC193" s="234"/>
      <c r="CD193" s="234"/>
      <c r="CE193" s="234"/>
      <c r="CF193" s="233"/>
      <c r="CG193" s="232"/>
      <c r="CH193" s="220"/>
      <c r="CI193" s="220"/>
      <c r="CJ193" s="233"/>
      <c r="CK193" s="1012"/>
    </row>
    <row r="194" spans="8:89">
      <c r="H194" s="182"/>
      <c r="I194" s="200"/>
      <c r="J194" s="235"/>
      <c r="K194" s="201"/>
      <c r="L194" s="171"/>
      <c r="M194" s="171"/>
      <c r="N194" s="171"/>
      <c r="O194" s="202"/>
      <c r="P194" s="202"/>
      <c r="Q194" s="202"/>
      <c r="R194" s="202"/>
      <c r="S194" s="202"/>
      <c r="T194" s="204"/>
      <c r="U194" s="1011"/>
      <c r="V194" s="203"/>
      <c r="W194" s="203"/>
      <c r="X194" s="201"/>
      <c r="Y194" s="171"/>
      <c r="Z194" s="171"/>
      <c r="AA194" s="171"/>
      <c r="AB194" s="171"/>
      <c r="AC194" s="236"/>
      <c r="AD194" s="236"/>
      <c r="AE194" s="236"/>
      <c r="AF194" s="206"/>
      <c r="AG194" s="206"/>
      <c r="AH194" s="206"/>
      <c r="AI194" s="1013"/>
      <c r="AJ194" s="204"/>
      <c r="AK194" s="205"/>
      <c r="AL194" s="201"/>
      <c r="AM194" s="171"/>
      <c r="AN194" s="171"/>
      <c r="AO194" s="171"/>
      <c r="AP194" s="206"/>
      <c r="AQ194" s="235"/>
      <c r="AR194" s="170"/>
      <c r="AS194" s="171"/>
      <c r="AT194" s="206"/>
      <c r="AU194" s="1013"/>
      <c r="AV194" s="23"/>
      <c r="AW194" s="23"/>
      <c r="AX194" s="23"/>
      <c r="AY194" s="237"/>
      <c r="AZ194" s="235"/>
      <c r="BA194" s="235"/>
      <c r="BB194" s="225"/>
      <c r="BC194" s="225"/>
      <c r="BD194" s="171"/>
      <c r="BE194" s="238"/>
      <c r="BF194" s="226"/>
      <c r="BG194" s="226"/>
      <c r="BH194" s="226"/>
      <c r="BI194" s="226"/>
      <c r="BJ194" s="226"/>
      <c r="BK194" s="1011"/>
      <c r="BL194" s="238"/>
      <c r="BM194" s="238"/>
      <c r="BN194" s="225"/>
      <c r="BO194" s="226"/>
      <c r="BP194" s="226"/>
      <c r="BQ194" s="226"/>
      <c r="BR194" s="226"/>
      <c r="BS194" s="238"/>
      <c r="BT194" s="238"/>
      <c r="BU194" s="226"/>
      <c r="BV194" s="238"/>
      <c r="BW194" s="238"/>
      <c r="BX194" s="239"/>
      <c r="BY194" s="1013"/>
      <c r="BZ194" s="226"/>
      <c r="CA194" s="227"/>
      <c r="CB194" s="226"/>
      <c r="CC194" s="171"/>
      <c r="CD194" s="217"/>
      <c r="CE194" s="217"/>
      <c r="CF194" s="239"/>
      <c r="CG194" s="238"/>
      <c r="CH194" s="226"/>
      <c r="CI194" s="226"/>
      <c r="CJ194" s="239"/>
      <c r="CK194" s="1013"/>
    </row>
    <row r="195" spans="8:89">
      <c r="H195" s="182"/>
      <c r="I195" s="183"/>
      <c r="J195" s="229"/>
      <c r="K195" s="185"/>
      <c r="L195" s="186"/>
      <c r="M195" s="186"/>
      <c r="N195" s="186"/>
      <c r="O195" s="187"/>
      <c r="P195" s="187"/>
      <c r="Q195" s="187"/>
      <c r="R195" s="187"/>
      <c r="S195" s="187"/>
      <c r="T195" s="189"/>
      <c r="U195" s="1010"/>
      <c r="V195" s="188"/>
      <c r="W195" s="188"/>
      <c r="X195" s="185"/>
      <c r="Y195" s="186"/>
      <c r="Z195" s="186"/>
      <c r="AA195" s="186"/>
      <c r="AB195" s="186"/>
      <c r="AC195" s="230"/>
      <c r="AD195" s="230"/>
      <c r="AE195" s="230"/>
      <c r="AF195" s="199"/>
      <c r="AG195" s="199"/>
      <c r="AH195" s="199"/>
      <c r="AI195" s="1012"/>
      <c r="AJ195" s="189"/>
      <c r="AK195" s="190"/>
      <c r="AL195" s="185"/>
      <c r="AM195" s="186"/>
      <c r="AN195" s="186"/>
      <c r="AO195" s="186"/>
      <c r="AP195" s="199"/>
      <c r="AQ195" s="229"/>
      <c r="AR195" s="198"/>
      <c r="AS195" s="186"/>
      <c r="AT195" s="199"/>
      <c r="AU195" s="1012"/>
      <c r="AV195" s="23"/>
      <c r="AW195" s="23"/>
      <c r="AX195" s="23"/>
      <c r="AY195" s="231"/>
      <c r="AZ195" s="229"/>
      <c r="BA195" s="229"/>
      <c r="BB195" s="219"/>
      <c r="BC195" s="219"/>
      <c r="BD195" s="186"/>
      <c r="BE195" s="232"/>
      <c r="BF195" s="220"/>
      <c r="BG195" s="220"/>
      <c r="BH195" s="220"/>
      <c r="BI195" s="220"/>
      <c r="BJ195" s="220"/>
      <c r="BK195" s="1010"/>
      <c r="BL195" s="232"/>
      <c r="BM195" s="232"/>
      <c r="BN195" s="219"/>
      <c r="BO195" s="220"/>
      <c r="BP195" s="220"/>
      <c r="BQ195" s="220"/>
      <c r="BR195" s="220"/>
      <c r="BS195" s="220"/>
      <c r="BT195" s="220"/>
      <c r="BU195" s="220"/>
      <c r="BV195" s="220"/>
      <c r="BW195" s="220"/>
      <c r="BX195" s="233"/>
      <c r="BY195" s="1012"/>
      <c r="BZ195" s="220"/>
      <c r="CA195" s="221"/>
      <c r="CB195" s="220"/>
      <c r="CC195" s="234"/>
      <c r="CD195" s="234"/>
      <c r="CE195" s="234"/>
      <c r="CF195" s="233"/>
      <c r="CG195" s="232"/>
      <c r="CH195" s="220"/>
      <c r="CI195" s="220"/>
      <c r="CJ195" s="233"/>
      <c r="CK195" s="1012"/>
    </row>
    <row r="196" spans="8:89">
      <c r="H196" s="182"/>
      <c r="I196" s="200"/>
      <c r="J196" s="235"/>
      <c r="K196" s="201"/>
      <c r="L196" s="171"/>
      <c r="M196" s="171"/>
      <c r="N196" s="171"/>
      <c r="O196" s="202"/>
      <c r="P196" s="202"/>
      <c r="Q196" s="202"/>
      <c r="R196" s="202"/>
      <c r="S196" s="202"/>
      <c r="T196" s="204"/>
      <c r="U196" s="1011"/>
      <c r="V196" s="203"/>
      <c r="W196" s="203"/>
      <c r="X196" s="201"/>
      <c r="Y196" s="171"/>
      <c r="Z196" s="171"/>
      <c r="AA196" s="171"/>
      <c r="AB196" s="171"/>
      <c r="AC196" s="236"/>
      <c r="AD196" s="236"/>
      <c r="AE196" s="236"/>
      <c r="AF196" s="206"/>
      <c r="AG196" s="206"/>
      <c r="AH196" s="206"/>
      <c r="AI196" s="1013"/>
      <c r="AJ196" s="204"/>
      <c r="AK196" s="205"/>
      <c r="AL196" s="201"/>
      <c r="AM196" s="171"/>
      <c r="AN196" s="171"/>
      <c r="AO196" s="171"/>
      <c r="AP196" s="206"/>
      <c r="AQ196" s="235"/>
      <c r="AR196" s="170"/>
      <c r="AS196" s="171"/>
      <c r="AT196" s="206"/>
      <c r="AU196" s="1013"/>
      <c r="AV196" s="23"/>
      <c r="AW196" s="23"/>
      <c r="AX196" s="23"/>
      <c r="AY196" s="237"/>
      <c r="AZ196" s="235"/>
      <c r="BA196" s="235"/>
      <c r="BB196" s="225"/>
      <c r="BC196" s="225"/>
      <c r="BD196" s="171"/>
      <c r="BE196" s="238"/>
      <c r="BF196" s="226"/>
      <c r="BG196" s="226"/>
      <c r="BH196" s="226"/>
      <c r="BI196" s="226"/>
      <c r="BJ196" s="226"/>
      <c r="BK196" s="1011"/>
      <c r="BL196" s="238"/>
      <c r="BM196" s="238"/>
      <c r="BN196" s="225"/>
      <c r="BO196" s="226"/>
      <c r="BP196" s="226"/>
      <c r="BQ196" s="226"/>
      <c r="BR196" s="226"/>
      <c r="BS196" s="238"/>
      <c r="BT196" s="238"/>
      <c r="BU196" s="226"/>
      <c r="BV196" s="238"/>
      <c r="BW196" s="238"/>
      <c r="BX196" s="239"/>
      <c r="BY196" s="1013"/>
      <c r="BZ196" s="226"/>
      <c r="CA196" s="227"/>
      <c r="CB196" s="226"/>
      <c r="CC196" s="171"/>
      <c r="CD196" s="217"/>
      <c r="CE196" s="217"/>
      <c r="CF196" s="239"/>
      <c r="CG196" s="238"/>
      <c r="CH196" s="223"/>
      <c r="CI196" s="226"/>
      <c r="CJ196" s="239"/>
      <c r="CK196" s="1013"/>
    </row>
    <row r="197" spans="8:89">
      <c r="H197" s="182"/>
      <c r="I197" s="183"/>
      <c r="J197" s="229"/>
      <c r="K197" s="185"/>
      <c r="L197" s="186"/>
      <c r="M197" s="186"/>
      <c r="N197" s="186"/>
      <c r="O197" s="187"/>
      <c r="P197" s="187"/>
      <c r="Q197" s="187"/>
      <c r="R197" s="187"/>
      <c r="S197" s="187"/>
      <c r="T197" s="189"/>
      <c r="U197" s="1010"/>
      <c r="V197" s="188"/>
      <c r="W197" s="188"/>
      <c r="X197" s="185"/>
      <c r="Y197" s="186"/>
      <c r="Z197" s="186"/>
      <c r="AA197" s="186"/>
      <c r="AB197" s="186"/>
      <c r="AC197" s="230"/>
      <c r="AD197" s="230"/>
      <c r="AE197" s="230"/>
      <c r="AF197" s="199"/>
      <c r="AG197" s="199"/>
      <c r="AH197" s="199"/>
      <c r="AI197" s="1012"/>
      <c r="AJ197" s="189"/>
      <c r="AK197" s="190"/>
      <c r="AL197" s="185"/>
      <c r="AM197" s="186"/>
      <c r="AN197" s="186"/>
      <c r="AO197" s="186"/>
      <c r="AP197" s="199"/>
      <c r="AQ197" s="229"/>
      <c r="AR197" s="198"/>
      <c r="AS197" s="186"/>
      <c r="AT197" s="199"/>
      <c r="AU197" s="1012"/>
      <c r="AV197" s="23"/>
      <c r="AW197" s="23"/>
      <c r="AX197" s="23"/>
      <c r="AY197" s="231"/>
      <c r="AZ197" s="229"/>
      <c r="BA197" s="229"/>
      <c r="BB197" s="219"/>
      <c r="BC197" s="219"/>
      <c r="BD197" s="186"/>
      <c r="BE197" s="232"/>
      <c r="BF197" s="220"/>
      <c r="BG197" s="220"/>
      <c r="BH197" s="220"/>
      <c r="BI197" s="220"/>
      <c r="BJ197" s="220"/>
      <c r="BK197" s="1010"/>
      <c r="BL197" s="232"/>
      <c r="BM197" s="232"/>
      <c r="BN197" s="219"/>
      <c r="BO197" s="220"/>
      <c r="BP197" s="220"/>
      <c r="BQ197" s="220"/>
      <c r="BR197" s="220"/>
      <c r="BS197" s="220"/>
      <c r="BT197" s="220"/>
      <c r="BU197" s="220"/>
      <c r="BV197" s="220"/>
      <c r="BW197" s="220"/>
      <c r="BX197" s="233"/>
      <c r="BY197" s="1012"/>
      <c r="BZ197" s="220"/>
      <c r="CA197" s="221"/>
      <c r="CB197" s="220"/>
      <c r="CC197" s="234"/>
      <c r="CD197" s="234"/>
      <c r="CE197" s="234"/>
      <c r="CF197" s="233"/>
      <c r="CG197" s="232"/>
      <c r="CH197" s="220"/>
      <c r="CI197" s="220"/>
      <c r="CJ197" s="233"/>
      <c r="CK197" s="1012"/>
    </row>
    <row r="198" spans="8:89">
      <c r="H198" s="182"/>
      <c r="I198" s="200"/>
      <c r="J198" s="235"/>
      <c r="K198" s="201"/>
      <c r="L198" s="171"/>
      <c r="M198" s="171"/>
      <c r="N198" s="171"/>
      <c r="O198" s="202"/>
      <c r="P198" s="202"/>
      <c r="Q198" s="202"/>
      <c r="R198" s="202"/>
      <c r="S198" s="202"/>
      <c r="T198" s="204"/>
      <c r="U198" s="1011"/>
      <c r="V198" s="203"/>
      <c r="W198" s="203"/>
      <c r="X198" s="201"/>
      <c r="Y198" s="171"/>
      <c r="Z198" s="171"/>
      <c r="AA198" s="171"/>
      <c r="AB198" s="171"/>
      <c r="AC198" s="236"/>
      <c r="AD198" s="236"/>
      <c r="AE198" s="236"/>
      <c r="AF198" s="206"/>
      <c r="AG198" s="206"/>
      <c r="AH198" s="206"/>
      <c r="AI198" s="1013"/>
      <c r="AJ198" s="204"/>
      <c r="AK198" s="205"/>
      <c r="AL198" s="201"/>
      <c r="AM198" s="171"/>
      <c r="AN198" s="171"/>
      <c r="AO198" s="171"/>
      <c r="AP198" s="206"/>
      <c r="AQ198" s="235"/>
      <c r="AR198" s="170"/>
      <c r="AS198" s="171"/>
      <c r="AT198" s="206"/>
      <c r="AU198" s="1013"/>
      <c r="AV198" s="23"/>
      <c r="AW198" s="23"/>
      <c r="AX198" s="23"/>
      <c r="AY198" s="237"/>
      <c r="AZ198" s="235"/>
      <c r="BA198" s="235"/>
      <c r="BB198" s="225"/>
      <c r="BC198" s="225"/>
      <c r="BD198" s="171"/>
      <c r="BE198" s="238"/>
      <c r="BF198" s="226"/>
      <c r="BG198" s="226"/>
      <c r="BH198" s="226"/>
      <c r="BI198" s="226"/>
      <c r="BJ198" s="226"/>
      <c r="BK198" s="1011"/>
      <c r="BL198" s="238"/>
      <c r="BM198" s="238"/>
      <c r="BN198" s="225"/>
      <c r="BO198" s="226"/>
      <c r="BP198" s="226"/>
      <c r="BQ198" s="226"/>
      <c r="BR198" s="226"/>
      <c r="BS198" s="238"/>
      <c r="BT198" s="238"/>
      <c r="BU198" s="226"/>
      <c r="BV198" s="238"/>
      <c r="BW198" s="238"/>
      <c r="BX198" s="239"/>
      <c r="BY198" s="1013"/>
      <c r="BZ198" s="226"/>
      <c r="CA198" s="227"/>
      <c r="CB198" s="226"/>
      <c r="CC198" s="171"/>
      <c r="CD198" s="217"/>
      <c r="CE198" s="217"/>
      <c r="CF198" s="239"/>
      <c r="CG198" s="238"/>
      <c r="CH198" s="226"/>
      <c r="CI198" s="226"/>
      <c r="CJ198" s="239"/>
      <c r="CK198" s="1013"/>
    </row>
    <row r="199" spans="8:89">
      <c r="H199" s="182"/>
      <c r="I199" s="183"/>
      <c r="J199" s="229"/>
      <c r="K199" s="185"/>
      <c r="L199" s="186"/>
      <c r="M199" s="186"/>
      <c r="N199" s="186"/>
      <c r="O199" s="187"/>
      <c r="P199" s="187"/>
      <c r="Q199" s="187"/>
      <c r="R199" s="187"/>
      <c r="S199" s="187"/>
      <c r="T199" s="189"/>
      <c r="U199" s="1010"/>
      <c r="V199" s="188"/>
      <c r="W199" s="188"/>
      <c r="X199" s="185"/>
      <c r="Y199" s="186"/>
      <c r="Z199" s="186"/>
      <c r="AA199" s="186"/>
      <c r="AB199" s="186"/>
      <c r="AC199" s="230"/>
      <c r="AD199" s="230"/>
      <c r="AE199" s="230"/>
      <c r="AF199" s="199"/>
      <c r="AG199" s="199"/>
      <c r="AH199" s="199"/>
      <c r="AI199" s="1012"/>
      <c r="AJ199" s="189"/>
      <c r="AK199" s="190"/>
      <c r="AL199" s="185"/>
      <c r="AM199" s="186"/>
      <c r="AN199" s="186"/>
      <c r="AO199" s="186"/>
      <c r="AP199" s="199"/>
      <c r="AQ199" s="229"/>
      <c r="AR199" s="198"/>
      <c r="AS199" s="186"/>
      <c r="AT199" s="199"/>
      <c r="AU199" s="1012"/>
      <c r="AV199" s="23"/>
      <c r="AW199" s="23"/>
      <c r="AX199" s="23"/>
      <c r="AY199" s="231"/>
      <c r="AZ199" s="229"/>
      <c r="BA199" s="229"/>
      <c r="BB199" s="219"/>
      <c r="BC199" s="219"/>
      <c r="BD199" s="186"/>
      <c r="BE199" s="232"/>
      <c r="BF199" s="220"/>
      <c r="BG199" s="220"/>
      <c r="BH199" s="220"/>
      <c r="BI199" s="220"/>
      <c r="BJ199" s="220"/>
      <c r="BK199" s="1010"/>
      <c r="BL199" s="232"/>
      <c r="BM199" s="232"/>
      <c r="BN199" s="219"/>
      <c r="BO199" s="220"/>
      <c r="BP199" s="220"/>
      <c r="BQ199" s="220"/>
      <c r="BR199" s="220"/>
      <c r="BS199" s="220"/>
      <c r="BT199" s="220"/>
      <c r="BU199" s="220"/>
      <c r="BV199" s="220"/>
      <c r="BW199" s="220"/>
      <c r="BX199" s="233"/>
      <c r="BY199" s="1012"/>
      <c r="BZ199" s="220"/>
      <c r="CA199" s="221"/>
      <c r="CB199" s="220"/>
      <c r="CC199" s="234"/>
      <c r="CD199" s="234"/>
      <c r="CE199" s="234"/>
      <c r="CF199" s="233"/>
      <c r="CG199" s="232"/>
      <c r="CH199" s="220"/>
      <c r="CI199" s="220"/>
      <c r="CJ199" s="233"/>
      <c r="CK199" s="1012"/>
    </row>
    <row r="200" spans="8:89">
      <c r="H200" s="182"/>
      <c r="I200" s="200"/>
      <c r="J200" s="235"/>
      <c r="K200" s="201"/>
      <c r="L200" s="171"/>
      <c r="M200" s="171"/>
      <c r="N200" s="171"/>
      <c r="O200" s="202"/>
      <c r="P200" s="202"/>
      <c r="Q200" s="202"/>
      <c r="R200" s="202"/>
      <c r="S200" s="202"/>
      <c r="T200" s="204"/>
      <c r="U200" s="1011"/>
      <c r="V200" s="203"/>
      <c r="W200" s="203"/>
      <c r="X200" s="201"/>
      <c r="Y200" s="171"/>
      <c r="Z200" s="171"/>
      <c r="AA200" s="171"/>
      <c r="AB200" s="171"/>
      <c r="AC200" s="236"/>
      <c r="AD200" s="236"/>
      <c r="AE200" s="236"/>
      <c r="AF200" s="206"/>
      <c r="AG200" s="206"/>
      <c r="AH200" s="206"/>
      <c r="AI200" s="1013"/>
      <c r="AJ200" s="204"/>
      <c r="AK200" s="205"/>
      <c r="AL200" s="201"/>
      <c r="AM200" s="171"/>
      <c r="AN200" s="171"/>
      <c r="AO200" s="171"/>
      <c r="AP200" s="206"/>
      <c r="AQ200" s="235"/>
      <c r="AR200" s="170"/>
      <c r="AS200" s="171"/>
      <c r="AT200" s="206"/>
      <c r="AU200" s="1013"/>
      <c r="AV200" s="23"/>
      <c r="AW200" s="23"/>
      <c r="AX200" s="23"/>
      <c r="AY200" s="237"/>
      <c r="AZ200" s="235"/>
      <c r="BA200" s="235"/>
      <c r="BB200" s="225"/>
      <c r="BC200" s="225"/>
      <c r="BD200" s="171"/>
      <c r="BE200" s="238"/>
      <c r="BF200" s="226"/>
      <c r="BG200" s="226"/>
      <c r="BH200" s="226"/>
      <c r="BI200" s="226"/>
      <c r="BJ200" s="226"/>
      <c r="BK200" s="1011"/>
      <c r="BL200" s="238"/>
      <c r="BM200" s="238"/>
      <c r="BN200" s="225"/>
      <c r="BO200" s="226"/>
      <c r="BP200" s="226"/>
      <c r="BQ200" s="226"/>
      <c r="BR200" s="226"/>
      <c r="BS200" s="238"/>
      <c r="BT200" s="238"/>
      <c r="BU200" s="226"/>
      <c r="BV200" s="238"/>
      <c r="BW200" s="238"/>
      <c r="BX200" s="239"/>
      <c r="BY200" s="1013"/>
      <c r="BZ200" s="226"/>
      <c r="CA200" s="227"/>
      <c r="CB200" s="226"/>
      <c r="CC200" s="171"/>
      <c r="CD200" s="217"/>
      <c r="CE200" s="217"/>
      <c r="CF200" s="239"/>
      <c r="CG200" s="238"/>
      <c r="CH200" s="223"/>
      <c r="CI200" s="226"/>
      <c r="CJ200" s="239"/>
      <c r="CK200" s="1013"/>
    </row>
    <row r="201" spans="8:89">
      <c r="H201" s="182"/>
      <c r="I201" s="183"/>
      <c r="J201" s="229"/>
      <c r="K201" s="185"/>
      <c r="L201" s="186"/>
      <c r="M201" s="186"/>
      <c r="N201" s="186"/>
      <c r="O201" s="187"/>
      <c r="P201" s="187"/>
      <c r="Q201" s="187"/>
      <c r="R201" s="187"/>
      <c r="S201" s="187"/>
      <c r="T201" s="189"/>
      <c r="U201" s="1010"/>
      <c r="V201" s="188"/>
      <c r="W201" s="188"/>
      <c r="X201" s="185"/>
      <c r="Y201" s="186"/>
      <c r="Z201" s="186"/>
      <c r="AA201" s="186"/>
      <c r="AB201" s="186"/>
      <c r="AC201" s="230"/>
      <c r="AD201" s="230"/>
      <c r="AE201" s="230"/>
      <c r="AF201" s="199"/>
      <c r="AG201" s="199"/>
      <c r="AH201" s="199"/>
      <c r="AI201" s="1012"/>
      <c r="AJ201" s="189"/>
      <c r="AK201" s="190"/>
      <c r="AL201" s="185"/>
      <c r="AM201" s="186"/>
      <c r="AN201" s="186"/>
      <c r="AO201" s="186"/>
      <c r="AP201" s="199"/>
      <c r="AQ201" s="229"/>
      <c r="AR201" s="198"/>
      <c r="AS201" s="186"/>
      <c r="AT201" s="199"/>
      <c r="AU201" s="1012"/>
      <c r="AV201" s="23"/>
      <c r="AW201" s="23"/>
      <c r="AX201" s="23"/>
      <c r="AY201" s="231"/>
      <c r="AZ201" s="229"/>
      <c r="BA201" s="229"/>
      <c r="BB201" s="219"/>
      <c r="BC201" s="219"/>
      <c r="BD201" s="186"/>
      <c r="BE201" s="232"/>
      <c r="BF201" s="220"/>
      <c r="BG201" s="220"/>
      <c r="BH201" s="220"/>
      <c r="BI201" s="220"/>
      <c r="BJ201" s="220"/>
      <c r="BK201" s="1010"/>
      <c r="BL201" s="232"/>
      <c r="BM201" s="232"/>
      <c r="BN201" s="219"/>
      <c r="BO201" s="220"/>
      <c r="BP201" s="220"/>
      <c r="BQ201" s="220"/>
      <c r="BR201" s="220"/>
      <c r="BS201" s="220"/>
      <c r="BT201" s="220"/>
      <c r="BU201" s="220"/>
      <c r="BV201" s="220"/>
      <c r="BW201" s="220"/>
      <c r="BX201" s="233"/>
      <c r="BY201" s="1012"/>
      <c r="BZ201" s="220"/>
      <c r="CA201" s="221"/>
      <c r="CB201" s="220"/>
      <c r="CC201" s="234"/>
      <c r="CD201" s="234"/>
      <c r="CE201" s="234"/>
      <c r="CF201" s="233"/>
      <c r="CG201" s="232"/>
      <c r="CH201" s="220"/>
      <c r="CI201" s="220"/>
      <c r="CJ201" s="233"/>
      <c r="CK201" s="1012"/>
    </row>
    <row r="202" spans="8:89">
      <c r="H202" s="182"/>
      <c r="I202" s="200"/>
      <c r="J202" s="235"/>
      <c r="K202" s="201"/>
      <c r="L202" s="171"/>
      <c r="M202" s="171"/>
      <c r="N202" s="171"/>
      <c r="O202" s="202"/>
      <c r="P202" s="202"/>
      <c r="Q202" s="202"/>
      <c r="R202" s="202"/>
      <c r="S202" s="202"/>
      <c r="T202" s="204"/>
      <c r="U202" s="1011"/>
      <c r="V202" s="203"/>
      <c r="W202" s="203"/>
      <c r="X202" s="201"/>
      <c r="Y202" s="171"/>
      <c r="Z202" s="171"/>
      <c r="AA202" s="171"/>
      <c r="AB202" s="171"/>
      <c r="AC202" s="236"/>
      <c r="AD202" s="236"/>
      <c r="AE202" s="236"/>
      <c r="AF202" s="206"/>
      <c r="AG202" s="206"/>
      <c r="AH202" s="206"/>
      <c r="AI202" s="1013"/>
      <c r="AJ202" s="204"/>
      <c r="AK202" s="205"/>
      <c r="AL202" s="201"/>
      <c r="AM202" s="171"/>
      <c r="AN202" s="171"/>
      <c r="AO202" s="171"/>
      <c r="AP202" s="206"/>
      <c r="AQ202" s="235"/>
      <c r="AR202" s="170"/>
      <c r="AS202" s="171"/>
      <c r="AT202" s="206"/>
      <c r="AU202" s="1013"/>
      <c r="AV202" s="23"/>
      <c r="AW202" s="23"/>
      <c r="AX202" s="23"/>
      <c r="AY202" s="237"/>
      <c r="AZ202" s="235"/>
      <c r="BA202" s="235"/>
      <c r="BB202" s="225"/>
      <c r="BC202" s="225"/>
      <c r="BD202" s="171"/>
      <c r="BE202" s="238"/>
      <c r="BF202" s="226"/>
      <c r="BG202" s="226"/>
      <c r="BH202" s="226"/>
      <c r="BI202" s="226"/>
      <c r="BJ202" s="226"/>
      <c r="BK202" s="1011"/>
      <c r="BL202" s="238"/>
      <c r="BM202" s="238"/>
      <c r="BN202" s="225"/>
      <c r="BO202" s="226"/>
      <c r="BP202" s="226"/>
      <c r="BQ202" s="226"/>
      <c r="BR202" s="226"/>
      <c r="BS202" s="238"/>
      <c r="BT202" s="238"/>
      <c r="BU202" s="226"/>
      <c r="BV202" s="238"/>
      <c r="BW202" s="238"/>
      <c r="BX202" s="239"/>
      <c r="BY202" s="1013"/>
      <c r="BZ202" s="226"/>
      <c r="CA202" s="227"/>
      <c r="CB202" s="226"/>
      <c r="CC202" s="171"/>
      <c r="CD202" s="217"/>
      <c r="CE202" s="217"/>
      <c r="CF202" s="239"/>
      <c r="CG202" s="238"/>
      <c r="CH202" s="226"/>
      <c r="CI202" s="226"/>
      <c r="CJ202" s="239"/>
      <c r="CK202" s="1013"/>
    </row>
    <row r="203" spans="8:89">
      <c r="H203" s="182"/>
      <c r="I203" s="183"/>
      <c r="J203" s="229"/>
      <c r="K203" s="185"/>
      <c r="L203" s="186"/>
      <c r="M203" s="186"/>
      <c r="N203" s="186"/>
      <c r="O203" s="187"/>
      <c r="P203" s="187"/>
      <c r="Q203" s="187"/>
      <c r="R203" s="187"/>
      <c r="S203" s="187"/>
      <c r="T203" s="189"/>
      <c r="U203" s="246"/>
      <c r="V203" s="188"/>
      <c r="W203" s="188"/>
      <c r="X203" s="185"/>
      <c r="Y203" s="186"/>
      <c r="Z203" s="186"/>
      <c r="AA203" s="186"/>
      <c r="AB203" s="186"/>
      <c r="AC203" s="230"/>
      <c r="AD203" s="230"/>
      <c r="AE203" s="230"/>
      <c r="AF203" s="199"/>
      <c r="AG203" s="199"/>
      <c r="AH203" s="199"/>
      <c r="AI203" s="248"/>
      <c r="AJ203" s="189"/>
      <c r="AK203" s="190"/>
      <c r="AL203" s="185"/>
      <c r="AM203" s="186"/>
      <c r="AN203" s="186"/>
      <c r="AO203" s="186"/>
      <c r="AP203" s="199"/>
      <c r="AQ203" s="229"/>
      <c r="AR203" s="198"/>
      <c r="AS203" s="186"/>
      <c r="AT203" s="199"/>
      <c r="AU203" s="248"/>
      <c r="AV203" s="23"/>
      <c r="AW203" s="23"/>
      <c r="AX203" s="23"/>
      <c r="AY203" s="231"/>
      <c r="AZ203" s="229"/>
      <c r="BA203" s="229"/>
      <c r="BB203" s="219"/>
      <c r="BC203" s="219"/>
      <c r="BD203" s="186"/>
      <c r="BE203" s="232"/>
      <c r="BF203" s="220"/>
      <c r="BG203" s="220"/>
      <c r="BH203" s="220"/>
      <c r="BI203" s="220"/>
      <c r="BJ203" s="220"/>
      <c r="BK203" s="246"/>
      <c r="BL203" s="232"/>
      <c r="BM203" s="232"/>
      <c r="BN203" s="219"/>
      <c r="BO203" s="220"/>
      <c r="BP203" s="220"/>
      <c r="BQ203" s="220"/>
      <c r="BR203" s="220"/>
      <c r="BS203" s="220"/>
      <c r="BT203" s="220"/>
      <c r="BU203" s="220"/>
      <c r="BV203" s="220"/>
      <c r="BW203" s="220"/>
      <c r="BX203" s="233"/>
      <c r="BY203" s="248"/>
      <c r="BZ203" s="220"/>
      <c r="CA203" s="221"/>
      <c r="CB203" s="220"/>
      <c r="CC203" s="234"/>
      <c r="CD203" s="234"/>
      <c r="CE203" s="234"/>
      <c r="CF203" s="233"/>
      <c r="CG203" s="232"/>
      <c r="CH203" s="220"/>
      <c r="CI203" s="220"/>
      <c r="CJ203" s="233"/>
      <c r="CK203" s="248"/>
    </row>
    <row r="204" spans="8:89">
      <c r="H204" s="182"/>
      <c r="I204" s="200"/>
      <c r="J204" s="235"/>
      <c r="K204" s="201"/>
      <c r="L204" s="171"/>
      <c r="M204" s="171"/>
      <c r="N204" s="171"/>
      <c r="O204" s="202"/>
      <c r="P204" s="202"/>
      <c r="Q204" s="202"/>
      <c r="R204" s="202"/>
      <c r="S204" s="202"/>
      <c r="T204" s="204"/>
      <c r="U204" s="247"/>
      <c r="V204" s="203"/>
      <c r="W204" s="203"/>
      <c r="X204" s="201"/>
      <c r="Y204" s="171"/>
      <c r="Z204" s="171"/>
      <c r="AA204" s="171"/>
      <c r="AB204" s="171"/>
      <c r="AC204" s="236"/>
      <c r="AD204" s="236"/>
      <c r="AE204" s="236"/>
      <c r="AF204" s="206"/>
      <c r="AG204" s="206"/>
      <c r="AH204" s="206"/>
      <c r="AI204" s="249"/>
      <c r="AJ204" s="204"/>
      <c r="AK204" s="205"/>
      <c r="AL204" s="201"/>
      <c r="AM204" s="171"/>
      <c r="AN204" s="171"/>
      <c r="AO204" s="171"/>
      <c r="AP204" s="206"/>
      <c r="AQ204" s="235"/>
      <c r="AR204" s="170"/>
      <c r="AS204" s="171"/>
      <c r="AT204" s="206"/>
      <c r="AU204" s="249"/>
      <c r="AV204" s="23"/>
      <c r="AW204" s="23"/>
      <c r="AX204" s="23"/>
      <c r="AY204" s="237"/>
      <c r="AZ204" s="235"/>
      <c r="BA204" s="235"/>
      <c r="BB204" s="225"/>
      <c r="BC204" s="225"/>
      <c r="BD204" s="171"/>
      <c r="BE204" s="238"/>
      <c r="BF204" s="226"/>
      <c r="BG204" s="226"/>
      <c r="BH204" s="226"/>
      <c r="BI204" s="226"/>
      <c r="BJ204" s="226"/>
      <c r="BK204" s="247"/>
      <c r="BL204" s="238"/>
      <c r="BM204" s="238"/>
      <c r="BN204" s="225"/>
      <c r="BO204" s="226"/>
      <c r="BP204" s="226"/>
      <c r="BQ204" s="226"/>
      <c r="BR204" s="226"/>
      <c r="BS204" s="238"/>
      <c r="BT204" s="238"/>
      <c r="BU204" s="226"/>
      <c r="BV204" s="238"/>
      <c r="BW204" s="238"/>
      <c r="BX204" s="239"/>
      <c r="BY204" s="249"/>
      <c r="BZ204" s="226"/>
      <c r="CA204" s="227"/>
      <c r="CB204" s="226"/>
      <c r="CC204" s="171"/>
      <c r="CD204" s="217"/>
      <c r="CE204" s="217"/>
      <c r="CF204" s="239"/>
      <c r="CG204" s="238"/>
      <c r="CH204" s="226"/>
      <c r="CI204" s="226"/>
      <c r="CJ204" s="239"/>
      <c r="CK204" s="249"/>
    </row>
    <row r="205" spans="8:89">
      <c r="H205" s="182"/>
      <c r="I205" s="183"/>
      <c r="J205" s="229"/>
      <c r="K205" s="185"/>
      <c r="L205" s="186"/>
      <c r="M205" s="186"/>
      <c r="N205" s="186"/>
      <c r="O205" s="187"/>
      <c r="P205" s="187"/>
      <c r="Q205" s="187"/>
      <c r="R205" s="187"/>
      <c r="S205" s="187"/>
      <c r="T205" s="189"/>
      <c r="U205" s="246"/>
      <c r="V205" s="188"/>
      <c r="W205" s="188"/>
      <c r="X205" s="185"/>
      <c r="Y205" s="186"/>
      <c r="Z205" s="186"/>
      <c r="AA205" s="186"/>
      <c r="AB205" s="186"/>
      <c r="AC205" s="230"/>
      <c r="AD205" s="230"/>
      <c r="AE205" s="230"/>
      <c r="AF205" s="199"/>
      <c r="AG205" s="199"/>
      <c r="AH205" s="199"/>
      <c r="AI205" s="248"/>
      <c r="AJ205" s="189"/>
      <c r="AK205" s="190"/>
      <c r="AL205" s="185"/>
      <c r="AM205" s="186"/>
      <c r="AN205" s="186"/>
      <c r="AO205" s="186"/>
      <c r="AP205" s="199"/>
      <c r="AQ205" s="229"/>
      <c r="AR205" s="198"/>
      <c r="AS205" s="186"/>
      <c r="AT205" s="199"/>
      <c r="AU205" s="248"/>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row>
    <row r="206" spans="8:89">
      <c r="H206" s="182"/>
      <c r="I206" s="200"/>
      <c r="J206" s="235"/>
      <c r="K206" s="201"/>
      <c r="L206" s="171"/>
      <c r="M206" s="171"/>
      <c r="N206" s="171"/>
      <c r="O206" s="202"/>
      <c r="P206" s="202"/>
      <c r="Q206" s="202"/>
      <c r="R206" s="202"/>
      <c r="S206" s="202"/>
      <c r="T206" s="204"/>
      <c r="U206" s="247"/>
      <c r="V206" s="203"/>
      <c r="W206" s="203"/>
      <c r="X206" s="201"/>
      <c r="Y206" s="171"/>
      <c r="Z206" s="171"/>
      <c r="AA206" s="171"/>
      <c r="AB206" s="171"/>
      <c r="AC206" s="236"/>
      <c r="AD206" s="236"/>
      <c r="AE206" s="236"/>
      <c r="AF206" s="206"/>
      <c r="AG206" s="206"/>
      <c r="AH206" s="206"/>
      <c r="AI206" s="249"/>
      <c r="AJ206" s="204"/>
      <c r="AK206" s="205"/>
      <c r="AL206" s="201"/>
      <c r="AM206" s="171"/>
      <c r="AN206" s="171"/>
      <c r="AO206" s="171"/>
      <c r="AP206" s="206"/>
      <c r="AQ206" s="235"/>
      <c r="AR206" s="170"/>
      <c r="AS206" s="171"/>
      <c r="AT206" s="206"/>
      <c r="AU206" s="249"/>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row>
  </sheetData>
  <mergeCells count="502">
    <mergeCell ref="CK153:CK154"/>
    <mergeCell ref="BY153:BY154"/>
    <mergeCell ref="BK153:BK154"/>
    <mergeCell ref="AU153:AU154"/>
    <mergeCell ref="AI153:AI154"/>
    <mergeCell ref="U153:U154"/>
    <mergeCell ref="CK151:CK152"/>
    <mergeCell ref="BY151:BY152"/>
    <mergeCell ref="BK151:BK152"/>
    <mergeCell ref="AU151:AU152"/>
    <mergeCell ref="AI151:AI152"/>
    <mergeCell ref="U151:U152"/>
    <mergeCell ref="CK157:CK158"/>
    <mergeCell ref="BY157:BY158"/>
    <mergeCell ref="BK157:BK158"/>
    <mergeCell ref="AU157:AU158"/>
    <mergeCell ref="AI157:AI158"/>
    <mergeCell ref="U157:U158"/>
    <mergeCell ref="CK155:CK156"/>
    <mergeCell ref="BY155:BY156"/>
    <mergeCell ref="BK155:BK156"/>
    <mergeCell ref="AU155:AU156"/>
    <mergeCell ref="AI155:AI156"/>
    <mergeCell ref="U155:U156"/>
    <mergeCell ref="CK161:CK162"/>
    <mergeCell ref="BY161:BY162"/>
    <mergeCell ref="BK161:BK162"/>
    <mergeCell ref="AU161:AU162"/>
    <mergeCell ref="AI161:AI162"/>
    <mergeCell ref="U161:U162"/>
    <mergeCell ref="CK159:CK160"/>
    <mergeCell ref="BY159:BY160"/>
    <mergeCell ref="BK159:BK160"/>
    <mergeCell ref="AU159:AU160"/>
    <mergeCell ref="AI159:AI160"/>
    <mergeCell ref="U159:U160"/>
    <mergeCell ref="CK165:CK166"/>
    <mergeCell ref="BY165:BY166"/>
    <mergeCell ref="BK165:BK166"/>
    <mergeCell ref="AU165:AU166"/>
    <mergeCell ref="AI165:AI166"/>
    <mergeCell ref="U165:U166"/>
    <mergeCell ref="CK163:CK164"/>
    <mergeCell ref="BY163:BY164"/>
    <mergeCell ref="BK163:BK164"/>
    <mergeCell ref="AU163:AU164"/>
    <mergeCell ref="AI163:AI164"/>
    <mergeCell ref="U163:U164"/>
    <mergeCell ref="CK169:CK170"/>
    <mergeCell ref="BY169:BY170"/>
    <mergeCell ref="BK169:BK170"/>
    <mergeCell ref="AU169:AU170"/>
    <mergeCell ref="AI169:AI170"/>
    <mergeCell ref="U169:U170"/>
    <mergeCell ref="CK167:CK168"/>
    <mergeCell ref="BY167:BY168"/>
    <mergeCell ref="BK167:BK168"/>
    <mergeCell ref="AU167:AU168"/>
    <mergeCell ref="AI167:AI168"/>
    <mergeCell ref="U167:U168"/>
    <mergeCell ref="CK173:CK174"/>
    <mergeCell ref="BY173:BY174"/>
    <mergeCell ref="BK173:BK174"/>
    <mergeCell ref="AU173:AU174"/>
    <mergeCell ref="AI173:AI174"/>
    <mergeCell ref="U173:U174"/>
    <mergeCell ref="CK171:CK172"/>
    <mergeCell ref="BY171:BY172"/>
    <mergeCell ref="BK171:BK172"/>
    <mergeCell ref="AU171:AU172"/>
    <mergeCell ref="AI171:AI172"/>
    <mergeCell ref="U171:U172"/>
    <mergeCell ref="CK177:CK178"/>
    <mergeCell ref="BY177:BY178"/>
    <mergeCell ref="BK177:BK178"/>
    <mergeCell ref="AU177:AU178"/>
    <mergeCell ref="AI177:AI178"/>
    <mergeCell ref="U177:U178"/>
    <mergeCell ref="CK175:CK176"/>
    <mergeCell ref="BY175:BY176"/>
    <mergeCell ref="BK175:BK176"/>
    <mergeCell ref="AU175:AU176"/>
    <mergeCell ref="AI175:AI176"/>
    <mergeCell ref="U175:U176"/>
    <mergeCell ref="CK181:CK182"/>
    <mergeCell ref="BY181:BY182"/>
    <mergeCell ref="BK181:BK182"/>
    <mergeCell ref="AU181:AU182"/>
    <mergeCell ref="AI181:AI182"/>
    <mergeCell ref="U181:U182"/>
    <mergeCell ref="CK179:CK180"/>
    <mergeCell ref="BY179:BY180"/>
    <mergeCell ref="BK179:BK180"/>
    <mergeCell ref="AU179:AU180"/>
    <mergeCell ref="AI179:AI180"/>
    <mergeCell ref="U179:U180"/>
    <mergeCell ref="CK185:CK186"/>
    <mergeCell ref="BY185:BY186"/>
    <mergeCell ref="BK185:BK186"/>
    <mergeCell ref="AU185:AU186"/>
    <mergeCell ref="AI185:AI186"/>
    <mergeCell ref="U185:U186"/>
    <mergeCell ref="CK183:CK184"/>
    <mergeCell ref="BY183:BY184"/>
    <mergeCell ref="BK183:BK184"/>
    <mergeCell ref="AU183:AU184"/>
    <mergeCell ref="AI183:AI184"/>
    <mergeCell ref="U183:U184"/>
    <mergeCell ref="CK189:CK190"/>
    <mergeCell ref="BY189:BY190"/>
    <mergeCell ref="BK189:BK190"/>
    <mergeCell ref="AU189:AU190"/>
    <mergeCell ref="AI189:AI190"/>
    <mergeCell ref="U189:U190"/>
    <mergeCell ref="CK187:CK188"/>
    <mergeCell ref="BY187:BY188"/>
    <mergeCell ref="BK187:BK188"/>
    <mergeCell ref="AU187:AU188"/>
    <mergeCell ref="AI187:AI188"/>
    <mergeCell ref="U187:U188"/>
    <mergeCell ref="CK193:CK194"/>
    <mergeCell ref="BY193:BY194"/>
    <mergeCell ref="BK193:BK194"/>
    <mergeCell ref="AU193:AU194"/>
    <mergeCell ref="AI193:AI194"/>
    <mergeCell ref="U193:U194"/>
    <mergeCell ref="CK191:CK192"/>
    <mergeCell ref="BY191:BY192"/>
    <mergeCell ref="BK191:BK192"/>
    <mergeCell ref="AU191:AU192"/>
    <mergeCell ref="AI191:AI192"/>
    <mergeCell ref="U191:U192"/>
    <mergeCell ref="CK197:CK198"/>
    <mergeCell ref="BY197:BY198"/>
    <mergeCell ref="BK197:BK198"/>
    <mergeCell ref="AU197:AU198"/>
    <mergeCell ref="AI197:AI198"/>
    <mergeCell ref="U197:U198"/>
    <mergeCell ref="CK195:CK196"/>
    <mergeCell ref="BY195:BY196"/>
    <mergeCell ref="BK195:BK196"/>
    <mergeCell ref="AU195:AU196"/>
    <mergeCell ref="AI195:AI196"/>
    <mergeCell ref="U195:U196"/>
    <mergeCell ref="CK201:CK202"/>
    <mergeCell ref="BY201:BY202"/>
    <mergeCell ref="BK201:BK202"/>
    <mergeCell ref="AU201:AU202"/>
    <mergeCell ref="AI201:AI202"/>
    <mergeCell ref="U201:U202"/>
    <mergeCell ref="CK199:CK200"/>
    <mergeCell ref="BY199:BY200"/>
    <mergeCell ref="BK199:BK200"/>
    <mergeCell ref="AU199:AU200"/>
    <mergeCell ref="AI199:AI200"/>
    <mergeCell ref="U199:U200"/>
    <mergeCell ref="CK101:CK102"/>
    <mergeCell ref="BY101:BY102"/>
    <mergeCell ref="BK101:BK102"/>
    <mergeCell ref="AU101:AU102"/>
    <mergeCell ref="AI101:AI102"/>
    <mergeCell ref="U101:U102"/>
    <mergeCell ref="CK99:CK100"/>
    <mergeCell ref="BY99:BY100"/>
    <mergeCell ref="BK99:BK100"/>
    <mergeCell ref="AU99:AU100"/>
    <mergeCell ref="AI99:AI100"/>
    <mergeCell ref="U99:U100"/>
    <mergeCell ref="CK105:CK106"/>
    <mergeCell ref="BY105:BY106"/>
    <mergeCell ref="BK105:BK106"/>
    <mergeCell ref="AU105:AU106"/>
    <mergeCell ref="AI105:AI106"/>
    <mergeCell ref="U105:U106"/>
    <mergeCell ref="CK103:CK104"/>
    <mergeCell ref="BY103:BY104"/>
    <mergeCell ref="BK103:BK104"/>
    <mergeCell ref="AU103:AU104"/>
    <mergeCell ref="AI103:AI104"/>
    <mergeCell ref="U103:U104"/>
    <mergeCell ref="CK109:CK110"/>
    <mergeCell ref="BY109:BY110"/>
    <mergeCell ref="BK109:BK110"/>
    <mergeCell ref="AU109:AU110"/>
    <mergeCell ref="AI109:AI110"/>
    <mergeCell ref="U109:U110"/>
    <mergeCell ref="CK107:CK108"/>
    <mergeCell ref="BY107:BY108"/>
    <mergeCell ref="BK107:BK108"/>
    <mergeCell ref="AU107:AU108"/>
    <mergeCell ref="AI107:AI108"/>
    <mergeCell ref="U107:U108"/>
    <mergeCell ref="CK113:CK114"/>
    <mergeCell ref="BY113:BY114"/>
    <mergeCell ref="BK113:BK114"/>
    <mergeCell ref="AU113:AU114"/>
    <mergeCell ref="AI113:AI114"/>
    <mergeCell ref="U113:U114"/>
    <mergeCell ref="CK111:CK112"/>
    <mergeCell ref="BY111:BY112"/>
    <mergeCell ref="BK111:BK112"/>
    <mergeCell ref="AU111:AU112"/>
    <mergeCell ref="AI111:AI112"/>
    <mergeCell ref="U111:U112"/>
    <mergeCell ref="CK117:CK118"/>
    <mergeCell ref="BY117:BY118"/>
    <mergeCell ref="BK117:BK118"/>
    <mergeCell ref="AU117:AU118"/>
    <mergeCell ref="AI117:AI118"/>
    <mergeCell ref="U117:U118"/>
    <mergeCell ref="CK115:CK116"/>
    <mergeCell ref="BY115:BY116"/>
    <mergeCell ref="BK115:BK116"/>
    <mergeCell ref="AU115:AU116"/>
    <mergeCell ref="AI115:AI116"/>
    <mergeCell ref="U115:U116"/>
    <mergeCell ref="CK121:CK122"/>
    <mergeCell ref="BY121:BY122"/>
    <mergeCell ref="BK121:BK122"/>
    <mergeCell ref="AU121:AU122"/>
    <mergeCell ref="AI121:AI122"/>
    <mergeCell ref="U121:U122"/>
    <mergeCell ref="CK119:CK120"/>
    <mergeCell ref="BY119:BY120"/>
    <mergeCell ref="BK119:BK120"/>
    <mergeCell ref="AU119:AU120"/>
    <mergeCell ref="AI119:AI120"/>
    <mergeCell ref="U119:U120"/>
    <mergeCell ref="CK125:CK126"/>
    <mergeCell ref="BY125:BY126"/>
    <mergeCell ref="BK125:BK126"/>
    <mergeCell ref="AU125:AU126"/>
    <mergeCell ref="AI125:AI126"/>
    <mergeCell ref="U125:U126"/>
    <mergeCell ref="CK123:CK124"/>
    <mergeCell ref="BY123:BY124"/>
    <mergeCell ref="BK123:BK124"/>
    <mergeCell ref="AU123:AU124"/>
    <mergeCell ref="AI123:AI124"/>
    <mergeCell ref="U123:U124"/>
    <mergeCell ref="CK129:CK130"/>
    <mergeCell ref="BY129:BY130"/>
    <mergeCell ref="BK129:BK130"/>
    <mergeCell ref="AU129:AU130"/>
    <mergeCell ref="AI129:AI130"/>
    <mergeCell ref="U129:U130"/>
    <mergeCell ref="CK127:CK128"/>
    <mergeCell ref="BY127:BY128"/>
    <mergeCell ref="BK127:BK128"/>
    <mergeCell ref="AU127:AU128"/>
    <mergeCell ref="AI127:AI128"/>
    <mergeCell ref="U127:U128"/>
    <mergeCell ref="CK133:CK134"/>
    <mergeCell ref="BY133:BY134"/>
    <mergeCell ref="BK133:BK134"/>
    <mergeCell ref="AU133:AU134"/>
    <mergeCell ref="AI133:AI134"/>
    <mergeCell ref="U133:U134"/>
    <mergeCell ref="CK131:CK132"/>
    <mergeCell ref="BY131:BY132"/>
    <mergeCell ref="BK131:BK132"/>
    <mergeCell ref="AU131:AU132"/>
    <mergeCell ref="AI131:AI132"/>
    <mergeCell ref="U131:U132"/>
    <mergeCell ref="CK137:CK138"/>
    <mergeCell ref="BY137:BY138"/>
    <mergeCell ref="BK137:BK138"/>
    <mergeCell ref="AU137:AU138"/>
    <mergeCell ref="AI137:AI138"/>
    <mergeCell ref="U137:U138"/>
    <mergeCell ref="CK135:CK136"/>
    <mergeCell ref="BY135:BY136"/>
    <mergeCell ref="BK135:BK136"/>
    <mergeCell ref="AU135:AU136"/>
    <mergeCell ref="AI135:AI136"/>
    <mergeCell ref="U135:U136"/>
    <mergeCell ref="CK141:CK142"/>
    <mergeCell ref="BY141:BY142"/>
    <mergeCell ref="BK141:BK142"/>
    <mergeCell ref="AU141:AU142"/>
    <mergeCell ref="AI141:AI142"/>
    <mergeCell ref="U141:U142"/>
    <mergeCell ref="CK139:CK140"/>
    <mergeCell ref="BY139:BY140"/>
    <mergeCell ref="BK139:BK140"/>
    <mergeCell ref="AU139:AU140"/>
    <mergeCell ref="AI139:AI140"/>
    <mergeCell ref="U139:U140"/>
    <mergeCell ref="CK145:CK146"/>
    <mergeCell ref="BY145:BY146"/>
    <mergeCell ref="BK145:BK146"/>
    <mergeCell ref="AU145:AU146"/>
    <mergeCell ref="AI145:AI146"/>
    <mergeCell ref="U145:U146"/>
    <mergeCell ref="CK143:CK144"/>
    <mergeCell ref="BY143:BY144"/>
    <mergeCell ref="BK143:BK144"/>
    <mergeCell ref="AU143:AU144"/>
    <mergeCell ref="AI143:AI144"/>
    <mergeCell ref="U143:U144"/>
    <mergeCell ref="CK149:CK150"/>
    <mergeCell ref="BY149:BY150"/>
    <mergeCell ref="BK149:BK150"/>
    <mergeCell ref="AU149:AU150"/>
    <mergeCell ref="AI149:AI150"/>
    <mergeCell ref="U149:U150"/>
    <mergeCell ref="CK147:CK148"/>
    <mergeCell ref="BY147:BY148"/>
    <mergeCell ref="BK147:BK148"/>
    <mergeCell ref="AU147:AU148"/>
    <mergeCell ref="AI147:AI148"/>
    <mergeCell ref="U147:U148"/>
    <mergeCell ref="CK77:CK78"/>
    <mergeCell ref="BY77:BY78"/>
    <mergeCell ref="BK77:BK78"/>
    <mergeCell ref="AU77:AU78"/>
    <mergeCell ref="AI77:AI78"/>
    <mergeCell ref="U77:U78"/>
    <mergeCell ref="CK75:CK76"/>
    <mergeCell ref="BY75:BY76"/>
    <mergeCell ref="BK75:BK76"/>
    <mergeCell ref="CK81:CK82"/>
    <mergeCell ref="BY81:BY82"/>
    <mergeCell ref="BK81:BK82"/>
    <mergeCell ref="AU81:AU82"/>
    <mergeCell ref="AI81:AI82"/>
    <mergeCell ref="U81:U82"/>
    <mergeCell ref="CK79:CK80"/>
    <mergeCell ref="BY79:BY80"/>
    <mergeCell ref="BK79:BK80"/>
    <mergeCell ref="AU79:AU80"/>
    <mergeCell ref="AI79:AI80"/>
    <mergeCell ref="U79:U80"/>
    <mergeCell ref="CK85:CK86"/>
    <mergeCell ref="BY85:BY86"/>
    <mergeCell ref="BK85:BK86"/>
    <mergeCell ref="AU85:AU86"/>
    <mergeCell ref="AI85:AI86"/>
    <mergeCell ref="U85:U86"/>
    <mergeCell ref="CK83:CK84"/>
    <mergeCell ref="BY83:BY84"/>
    <mergeCell ref="BK83:BK84"/>
    <mergeCell ref="AU83:AU84"/>
    <mergeCell ref="AI83:AI84"/>
    <mergeCell ref="U83:U84"/>
    <mergeCell ref="CK89:CK90"/>
    <mergeCell ref="BY89:BY90"/>
    <mergeCell ref="BK89:BK90"/>
    <mergeCell ref="AU89:AU90"/>
    <mergeCell ref="AI89:AI90"/>
    <mergeCell ref="U89:U90"/>
    <mergeCell ref="CK87:CK88"/>
    <mergeCell ref="BY87:BY88"/>
    <mergeCell ref="BK87:BK88"/>
    <mergeCell ref="AU87:AU88"/>
    <mergeCell ref="AI87:AI88"/>
    <mergeCell ref="U87:U88"/>
    <mergeCell ref="CK93:CK94"/>
    <mergeCell ref="BY93:BY94"/>
    <mergeCell ref="BK93:BK94"/>
    <mergeCell ref="AU93:AU94"/>
    <mergeCell ref="AI93:AI94"/>
    <mergeCell ref="U93:U94"/>
    <mergeCell ref="CK91:CK92"/>
    <mergeCell ref="BY91:BY92"/>
    <mergeCell ref="BK91:BK92"/>
    <mergeCell ref="AU91:AU92"/>
    <mergeCell ref="AI91:AI92"/>
    <mergeCell ref="U91:U92"/>
    <mergeCell ref="CK97:CK98"/>
    <mergeCell ref="BY97:BY98"/>
    <mergeCell ref="BK97:BK98"/>
    <mergeCell ref="AU97:AU98"/>
    <mergeCell ref="AI97:AI98"/>
    <mergeCell ref="U97:U98"/>
    <mergeCell ref="CK95:CK96"/>
    <mergeCell ref="BY95:BY96"/>
    <mergeCell ref="BK95:BK96"/>
    <mergeCell ref="AU95:AU96"/>
    <mergeCell ref="AI95:AI96"/>
    <mergeCell ref="U95:U96"/>
    <mergeCell ref="BK71:BK72"/>
    <mergeCell ref="BY71:BY72"/>
    <mergeCell ref="CK71:CK72"/>
    <mergeCell ref="BK73:BK74"/>
    <mergeCell ref="BY73:BY74"/>
    <mergeCell ref="CK73:CK74"/>
    <mergeCell ref="BK67:BK68"/>
    <mergeCell ref="BY67:BY68"/>
    <mergeCell ref="CK67:CK68"/>
    <mergeCell ref="BK69:BK70"/>
    <mergeCell ref="BY69:BY70"/>
    <mergeCell ref="CK69:CK70"/>
    <mergeCell ref="BK63:BK64"/>
    <mergeCell ref="BY63:BY64"/>
    <mergeCell ref="CK63:CK64"/>
    <mergeCell ref="BK65:BK66"/>
    <mergeCell ref="BY65:BY66"/>
    <mergeCell ref="CK65:CK66"/>
    <mergeCell ref="BK59:BK60"/>
    <mergeCell ref="BY59:BY60"/>
    <mergeCell ref="CK59:CK60"/>
    <mergeCell ref="BK61:BK62"/>
    <mergeCell ref="BY61:BY62"/>
    <mergeCell ref="CK61:CK62"/>
    <mergeCell ref="BK55:BK56"/>
    <mergeCell ref="BY55:BY56"/>
    <mergeCell ref="CK55:CK56"/>
    <mergeCell ref="BK57:BK58"/>
    <mergeCell ref="BY57:BY58"/>
    <mergeCell ref="CK57:CK58"/>
    <mergeCell ref="BK51:BK52"/>
    <mergeCell ref="BY51:BY52"/>
    <mergeCell ref="CK51:CK52"/>
    <mergeCell ref="BK53:BK54"/>
    <mergeCell ref="BY53:BY54"/>
    <mergeCell ref="CK53:CK54"/>
    <mergeCell ref="BK47:BK48"/>
    <mergeCell ref="BY47:BY48"/>
    <mergeCell ref="CK47:CK48"/>
    <mergeCell ref="BK49:BK50"/>
    <mergeCell ref="BY49:BY50"/>
    <mergeCell ref="CK49:CK50"/>
    <mergeCell ref="BK43:BK44"/>
    <mergeCell ref="BY43:BY44"/>
    <mergeCell ref="CK43:CK44"/>
    <mergeCell ref="BK45:BK46"/>
    <mergeCell ref="BY45:BY46"/>
    <mergeCell ref="CK45:CK46"/>
    <mergeCell ref="BK39:BK40"/>
    <mergeCell ref="BY39:BY40"/>
    <mergeCell ref="CK39:CK40"/>
    <mergeCell ref="BK41:BK42"/>
    <mergeCell ref="BY41:BY42"/>
    <mergeCell ref="CK41:CK42"/>
    <mergeCell ref="U75:U76"/>
    <mergeCell ref="AI75:AI76"/>
    <mergeCell ref="AU75:AU76"/>
    <mergeCell ref="U61:U62"/>
    <mergeCell ref="AI61:AI62"/>
    <mergeCell ref="AU61:AU62"/>
    <mergeCell ref="U55:U56"/>
    <mergeCell ref="AI55:AI56"/>
    <mergeCell ref="AU55:AU56"/>
    <mergeCell ref="U57:U58"/>
    <mergeCell ref="AI57:AI58"/>
    <mergeCell ref="AU57:AU58"/>
    <mergeCell ref="U51:U52"/>
    <mergeCell ref="AI51:AI52"/>
    <mergeCell ref="AU51:AU52"/>
    <mergeCell ref="U53:U54"/>
    <mergeCell ref="AI53:AI54"/>
    <mergeCell ref="AU53:AU54"/>
    <mergeCell ref="BK37:BK38"/>
    <mergeCell ref="BY37:BY38"/>
    <mergeCell ref="CK37:CK38"/>
    <mergeCell ref="U71:U72"/>
    <mergeCell ref="AI71:AI72"/>
    <mergeCell ref="AU71:AU72"/>
    <mergeCell ref="U73:U74"/>
    <mergeCell ref="AI73:AI74"/>
    <mergeCell ref="AU73:AU74"/>
    <mergeCell ref="U67:U68"/>
    <mergeCell ref="AI67:AI68"/>
    <mergeCell ref="AU67:AU68"/>
    <mergeCell ref="U69:U70"/>
    <mergeCell ref="AI69:AI70"/>
    <mergeCell ref="AU69:AU70"/>
    <mergeCell ref="U63:U64"/>
    <mergeCell ref="AI63:AI64"/>
    <mergeCell ref="AU63:AU64"/>
    <mergeCell ref="U65:U66"/>
    <mergeCell ref="AI65:AI66"/>
    <mergeCell ref="AU65:AU66"/>
    <mergeCell ref="U59:U60"/>
    <mergeCell ref="AI59:AI60"/>
    <mergeCell ref="AU59:AU60"/>
    <mergeCell ref="V34:AH34"/>
    <mergeCell ref="AJ34:AP34"/>
    <mergeCell ref="AR34:AT34"/>
    <mergeCell ref="U47:U48"/>
    <mergeCell ref="AI47:AI48"/>
    <mergeCell ref="AU47:AU48"/>
    <mergeCell ref="U49:U50"/>
    <mergeCell ref="AI49:AI50"/>
    <mergeCell ref="AU49:AU50"/>
    <mergeCell ref="U43:U44"/>
    <mergeCell ref="AI43:AI44"/>
    <mergeCell ref="AU43:AU44"/>
    <mergeCell ref="U45:U46"/>
    <mergeCell ref="AI45:AI46"/>
    <mergeCell ref="AU45:AU46"/>
    <mergeCell ref="G35:H35"/>
    <mergeCell ref="U37:U38"/>
    <mergeCell ref="AI37:AI38"/>
    <mergeCell ref="AU37:AU38"/>
    <mergeCell ref="U39:U40"/>
    <mergeCell ref="AI39:AI40"/>
    <mergeCell ref="AU39:AU40"/>
    <mergeCell ref="U41:U42"/>
    <mergeCell ref="AI41:AI42"/>
    <mergeCell ref="AU41:AU42"/>
  </mergeCells>
  <pageMargins left="0.7" right="0.7" top="0.78740157499999996" bottom="0.78740157499999996" header="0.3" footer="0.3"/>
  <pageSetup paperSize="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filterMode="1">
    <pageSetUpPr fitToPage="1"/>
  </sheetPr>
  <dimension ref="A1:CB284"/>
  <sheetViews>
    <sheetView showGridLines="0" view="pageBreakPreview" zoomScale="85" zoomScaleNormal="55" zoomScaleSheetLayoutView="85" workbookViewId="0">
      <selection activeCell="AY293" sqref="AY293"/>
    </sheetView>
  </sheetViews>
  <sheetFormatPr baseColWidth="10" defaultColWidth="8.6640625" defaultRowHeight="13.8"/>
  <cols>
    <col min="1" max="1" width="8.6640625" style="288"/>
    <col min="2" max="40" width="6.6640625" style="288" customWidth="1"/>
    <col min="41" max="41" width="8.6640625" style="491"/>
    <col min="42" max="80" width="6.6640625" style="288" customWidth="1"/>
    <col min="81" max="16384" width="8.6640625" style="288"/>
  </cols>
  <sheetData>
    <row r="1" spans="1:80" ht="24.6">
      <c r="AN1" s="97" t="str">
        <f>VLOOKUP("PREFA HOCHWASSERSCHUTZ SYSTEM",Sprachindex!$A:$Z,Haftungsausschluß!$O$6,FALSE)</f>
        <v>PREFA HOCHWASSERSCHUTZ SYSTEM</v>
      </c>
      <c r="AO1" s="288"/>
      <c r="CB1" s="97" t="str">
        <f>VLOOKUP("PREFA HOCHWASSERSCHUTZ SYSTEM",Sprachindex!$A:$Z,Haftungsausschluß!$O$6,FALSE)</f>
        <v>PREFA HOCHWASSERSCHUTZ SYSTEM</v>
      </c>
    </row>
    <row r="2" spans="1:80" ht="24.6">
      <c r="AN2" s="97" t="str">
        <f>VLOOKUP("KALKULATION",Sprachindex!$A:$Z,Haftungsausschluß!$O$6,FALSE) &amp; " " &amp; T7</f>
        <v>KALKULATION 1</v>
      </c>
      <c r="AO2" s="288"/>
      <c r="CB2" s="97" t="str">
        <f>VLOOKUP("KALKULATION",Sprachindex!$A:$Z,Haftungsausschluß!$O$6,FALSE) &amp; " " &amp; T7</f>
        <v>KALKULATION 1</v>
      </c>
    </row>
    <row r="3" spans="1:80" ht="14.25" customHeight="1">
      <c r="E3" s="350" t="str">
        <f>VLOOKUP("Dynamische Daten:",Sprachindex!A:Z,Haftungsausschluß!$O$6,FALSE)</f>
        <v>Dynamische Daten:</v>
      </c>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S3" s="350" t="str">
        <f>VLOOKUP("Dynamische Daten:",Sprachindex!A:Z,Haftungsausschluß!$O$6,FALSE)</f>
        <v>Dynamische Daten:</v>
      </c>
      <c r="AT3" s="353"/>
      <c r="AU3" s="353"/>
      <c r="AV3" s="353"/>
      <c r="AW3" s="353"/>
      <c r="AX3" s="353"/>
      <c r="AY3" s="353"/>
      <c r="AZ3" s="353"/>
      <c r="BA3" s="353"/>
      <c r="BB3" s="353"/>
      <c r="BC3" s="353"/>
      <c r="BD3" s="353"/>
      <c r="BE3" s="353"/>
      <c r="BF3" s="353"/>
      <c r="BG3" s="353"/>
      <c r="BH3" s="353"/>
      <c r="BI3" s="353"/>
      <c r="BJ3" s="353"/>
      <c r="BK3" s="353"/>
      <c r="BL3" s="353"/>
      <c r="BM3" s="353"/>
      <c r="BN3" s="353"/>
      <c r="BY3" s="354"/>
      <c r="BZ3" s="354"/>
      <c r="CA3" s="354"/>
      <c r="CB3" s="349"/>
    </row>
    <row r="4" spans="1:80" ht="14.25" customHeight="1">
      <c r="E4" s="433" t="str">
        <f>VLOOKUP("Fließgeschwindigkeit:",Sprachindex!A:Z,Haftungsausschluß!$O$6,FALSE)</f>
        <v>Fließgeschwindigkeit:</v>
      </c>
      <c r="F4" s="462"/>
      <c r="G4" s="462"/>
      <c r="H4" s="462"/>
      <c r="I4" s="462"/>
      <c r="J4" s="462"/>
      <c r="K4" s="1023">
        <f>Haftungsausschluß!F31</f>
        <v>4</v>
      </c>
      <c r="L4" s="1024"/>
      <c r="M4" s="1017" t="s">
        <v>2102</v>
      </c>
      <c r="N4" s="1018"/>
      <c r="O4" s="1029" t="str">
        <f>VLOOKUP("STATIK DAMMBALKEN",Sprachindex!A:Z,Haftungsausschluß!$O$6,FALSE)</f>
        <v>STATIK DAMMBALKEN</v>
      </c>
      <c r="P4" s="1030"/>
      <c r="Q4" s="1030"/>
      <c r="R4" s="1030"/>
      <c r="S4" s="1030"/>
      <c r="T4" s="1030"/>
      <c r="U4" s="1030"/>
      <c r="V4" s="1030"/>
      <c r="W4" s="1030"/>
      <c r="X4" s="1030"/>
      <c r="Y4" s="1030"/>
      <c r="Z4" s="1030"/>
      <c r="AA4" s="1030"/>
      <c r="AB4" s="1030"/>
      <c r="AC4" s="1030"/>
      <c r="AD4" s="1030"/>
      <c r="AE4" s="350" t="str">
        <f>VLOOKUP("Materialdaten:",Sprachindex!A:Z,Haftungsausschluß!$O$6,FALSE)</f>
        <v>Materialdaten:</v>
      </c>
      <c r="AF4" s="352"/>
      <c r="AG4" s="352"/>
      <c r="AH4" s="352"/>
      <c r="AI4" s="353"/>
      <c r="AJ4" s="353"/>
      <c r="AK4" s="353"/>
      <c r="AL4" s="434"/>
      <c r="AM4" s="436"/>
      <c r="AN4" s="351" t="s">
        <v>2772</v>
      </c>
      <c r="AO4" s="353"/>
      <c r="AS4" s="433" t="str">
        <f>VLOOKUP("Fließgeschwindigkeit:",Sprachindex!A:Z,Haftungsausschluß!$O$6,FALSE)</f>
        <v>Fließgeschwindigkeit:</v>
      </c>
      <c r="AT4" s="462"/>
      <c r="AU4" s="462"/>
      <c r="AV4" s="462"/>
      <c r="AW4" s="462"/>
      <c r="AX4" s="462"/>
      <c r="AY4" s="1023">
        <f>Haftungsausschluß!F31</f>
        <v>4</v>
      </c>
      <c r="AZ4" s="1024"/>
      <c r="BA4" s="1017" t="s">
        <v>2102</v>
      </c>
      <c r="BB4" s="1018"/>
      <c r="BC4" s="1029" t="str">
        <f>VLOOKUP("STATIK RUNDSTEHER",Sprachindex!A:Z,Haftungsausschluß!$O$6,FALSE) &amp; " " &amp; T7</f>
        <v>STATIK RUNDSTEHER 1</v>
      </c>
      <c r="BD4" s="1030"/>
      <c r="BE4" s="1030"/>
      <c r="BF4" s="1030"/>
      <c r="BG4" s="1030"/>
      <c r="BH4" s="1030"/>
      <c r="BI4" s="1030"/>
      <c r="BJ4" s="1030"/>
      <c r="BK4" s="1030"/>
      <c r="BL4" s="1030"/>
      <c r="BM4" s="1030"/>
      <c r="BN4" s="1030"/>
      <c r="BO4" s="1030"/>
      <c r="BP4" s="1030"/>
      <c r="BQ4" s="1030"/>
      <c r="BR4" s="1030"/>
      <c r="BS4" s="350" t="str">
        <f>VLOOKUP("Materialdaten:",Sprachindex!A:Z,Haftungsausschluß!$O$6,FALSE)</f>
        <v>Materialdaten:</v>
      </c>
      <c r="BT4" s="352"/>
      <c r="BU4" s="352"/>
      <c r="BV4" s="352"/>
      <c r="BW4" s="353"/>
      <c r="BX4" s="353"/>
      <c r="BY4" s="353"/>
      <c r="BZ4" s="434"/>
      <c r="CA4" s="436"/>
      <c r="CB4" s="351" t="s">
        <v>2772</v>
      </c>
    </row>
    <row r="5" spans="1:80" ht="14.25" customHeight="1">
      <c r="E5" s="433" t="str">
        <f>VLOOKUP("Anströmwinkel:",Sprachindex!A:Z,Haftungsausschluß!$O$6,FALSE)</f>
        <v>Anströmwinkel:</v>
      </c>
      <c r="F5" s="462"/>
      <c r="G5" s="462"/>
      <c r="H5" s="462"/>
      <c r="I5" s="462"/>
      <c r="J5" s="462"/>
      <c r="K5" s="1023"/>
      <c r="L5" s="1024"/>
      <c r="M5" s="1017" t="s">
        <v>2782</v>
      </c>
      <c r="N5" s="1018"/>
      <c r="O5" s="1029"/>
      <c r="P5" s="1030"/>
      <c r="Q5" s="1030"/>
      <c r="R5" s="1030"/>
      <c r="S5" s="1030"/>
      <c r="T5" s="1030"/>
      <c r="U5" s="1030"/>
      <c r="V5" s="1030"/>
      <c r="W5" s="1030"/>
      <c r="X5" s="1030"/>
      <c r="Y5" s="1030"/>
      <c r="Z5" s="1030"/>
      <c r="AA5" s="1030"/>
      <c r="AB5" s="1030"/>
      <c r="AC5" s="1030"/>
      <c r="AD5" s="1030"/>
      <c r="AE5" s="1017" t="str">
        <f>VLOOKUP("Streckgrenze Rp 0,2:",Sprachindex!A:Z,Haftungsausschluß!$O$6,FALSE)</f>
        <v>Streckgrenze Rp 0,2:</v>
      </c>
      <c r="AF5" s="1022"/>
      <c r="AG5" s="1022"/>
      <c r="AH5" s="1018"/>
      <c r="AI5" s="1023">
        <f>'Statik 1-Zusatzberechnungen-1'!M7</f>
        <v>200</v>
      </c>
      <c r="AJ5" s="1034"/>
      <c r="AK5" s="1024"/>
      <c r="AL5" s="434" t="s">
        <v>2777</v>
      </c>
      <c r="AM5" s="436"/>
      <c r="AN5" s="435"/>
      <c r="AO5" s="353"/>
      <c r="AS5" s="433" t="str">
        <f>VLOOKUP("Anströmwinkel:",Sprachindex!A:Z,Haftungsausschluß!$O$6,FALSE)</f>
        <v>Anströmwinkel:</v>
      </c>
      <c r="AT5" s="462"/>
      <c r="AU5" s="462"/>
      <c r="AV5" s="462"/>
      <c r="AW5" s="462"/>
      <c r="AX5" s="462"/>
      <c r="AY5" s="1023"/>
      <c r="AZ5" s="1024"/>
      <c r="BA5" s="1017" t="s">
        <v>2782</v>
      </c>
      <c r="BB5" s="1018"/>
      <c r="BC5" s="1029"/>
      <c r="BD5" s="1030"/>
      <c r="BE5" s="1030"/>
      <c r="BF5" s="1030"/>
      <c r="BG5" s="1030"/>
      <c r="BH5" s="1030"/>
      <c r="BI5" s="1030"/>
      <c r="BJ5" s="1030"/>
      <c r="BK5" s="1030"/>
      <c r="BL5" s="1030"/>
      <c r="BM5" s="1030"/>
      <c r="BN5" s="1030"/>
      <c r="BO5" s="1030"/>
      <c r="BP5" s="1030"/>
      <c r="BQ5" s="1030"/>
      <c r="BR5" s="1030"/>
      <c r="BS5" s="1017" t="str">
        <f>VLOOKUP("Streckgrenze Rp 0,2:",Sprachindex!A:Z,Haftungsausschluß!$O$6,FALSE)</f>
        <v>Streckgrenze Rp 0,2:</v>
      </c>
      <c r="BT5" s="1022"/>
      <c r="BU5" s="1022"/>
      <c r="BV5" s="1018"/>
      <c r="BW5" s="1023">
        <f>'Statik 1-Zusatzberechnungen-1'!M7</f>
        <v>200</v>
      </c>
      <c r="BX5" s="1034"/>
      <c r="BY5" s="1024"/>
      <c r="BZ5" s="434" t="s">
        <v>2777</v>
      </c>
      <c r="CA5" s="436"/>
      <c r="CB5" s="435"/>
    </row>
    <row r="6" spans="1:80" ht="14.25" customHeight="1">
      <c r="E6" s="433" t="str">
        <f>VLOOKUP("anprallende Treibgutmasse:",Sprachindex!A:Z,Haftungsausschluß!$O$6,FALSE)</f>
        <v>anprallende Treibgutmasse:</v>
      </c>
      <c r="F6" s="462"/>
      <c r="G6" s="462"/>
      <c r="H6" s="462"/>
      <c r="I6" s="462"/>
      <c r="J6" s="462"/>
      <c r="K6" s="1023">
        <f>Haftungsausschluß!F32</f>
        <v>0.4</v>
      </c>
      <c r="L6" s="1024"/>
      <c r="M6" s="1017" t="s">
        <v>2105</v>
      </c>
      <c r="N6" s="1018"/>
      <c r="O6" s="1029"/>
      <c r="P6" s="1030"/>
      <c r="Q6" s="1030"/>
      <c r="R6" s="1030"/>
      <c r="S6" s="1030"/>
      <c r="T6" s="1030"/>
      <c r="U6" s="1030"/>
      <c r="V6" s="1030"/>
      <c r="W6" s="1030"/>
      <c r="X6" s="1030"/>
      <c r="Y6" s="1030"/>
      <c r="Z6" s="1030"/>
      <c r="AA6" s="1030"/>
      <c r="AB6" s="1030"/>
      <c r="AC6" s="1030"/>
      <c r="AD6" s="1030"/>
      <c r="AE6" s="1017" t="str">
        <f>VLOOKUP("E Modul: EAL",Sprachindex!A:Z,Haftungsausschluß!$O$6,FALSE)</f>
        <v>E Modul: EAL</v>
      </c>
      <c r="AF6" s="1022"/>
      <c r="AG6" s="1022"/>
      <c r="AH6" s="1018"/>
      <c r="AI6" s="1023">
        <f>'Statik 1-Zusatzberechnungen-1'!M8</f>
        <v>70000</v>
      </c>
      <c r="AJ6" s="1034"/>
      <c r="AK6" s="1024"/>
      <c r="AL6" s="434" t="s">
        <v>2777</v>
      </c>
      <c r="AM6" s="436"/>
      <c r="AN6" s="435"/>
      <c r="AO6" s="353"/>
      <c r="AS6" s="433" t="str">
        <f>VLOOKUP("anprallende Treibgutmasse:",Sprachindex!A:Z,Haftungsausschluß!$O$6,FALSE)</f>
        <v>anprallende Treibgutmasse:</v>
      </c>
      <c r="AT6" s="462"/>
      <c r="AU6" s="462"/>
      <c r="AV6" s="462"/>
      <c r="AW6" s="462"/>
      <c r="AX6" s="462"/>
      <c r="AY6" s="1023">
        <f>Haftungsausschluß!F32</f>
        <v>0.4</v>
      </c>
      <c r="AZ6" s="1024"/>
      <c r="BA6" s="1017" t="s">
        <v>2105</v>
      </c>
      <c r="BB6" s="1018"/>
      <c r="BC6" s="1029"/>
      <c r="BD6" s="1030"/>
      <c r="BE6" s="1030"/>
      <c r="BF6" s="1030"/>
      <c r="BG6" s="1030"/>
      <c r="BH6" s="1030"/>
      <c r="BI6" s="1030"/>
      <c r="BJ6" s="1030"/>
      <c r="BK6" s="1030"/>
      <c r="BL6" s="1030"/>
      <c r="BM6" s="1030"/>
      <c r="BN6" s="1030"/>
      <c r="BO6" s="1030"/>
      <c r="BP6" s="1030"/>
      <c r="BQ6" s="1030"/>
      <c r="BR6" s="1030"/>
      <c r="BS6" s="1017" t="str">
        <f>VLOOKUP("E Modul: EAL",Sprachindex!A:Z,Haftungsausschluß!$O$6,FALSE)</f>
        <v>E Modul: EAL</v>
      </c>
      <c r="BT6" s="1022"/>
      <c r="BU6" s="1022"/>
      <c r="BV6" s="1018"/>
      <c r="BW6" s="1023">
        <f>'Statik 1-Zusatzberechnungen-1'!M8</f>
        <v>70000</v>
      </c>
      <c r="BX6" s="1034"/>
      <c r="BY6" s="1024"/>
      <c r="BZ6" s="434" t="s">
        <v>2777</v>
      </c>
      <c r="CA6" s="436"/>
      <c r="CB6" s="435"/>
    </row>
    <row r="7" spans="1:80" ht="14.25" customHeight="1">
      <c r="E7" s="433" t="str">
        <f>VLOOKUP("Dichte Wasser inkl. Geschiebe:",Sprachindex!A:Z,Haftungsausschluß!$O$6,FALSE)</f>
        <v>Dichte Wasser inkl. Geschiebe:</v>
      </c>
      <c r="F7" s="462"/>
      <c r="G7" s="462"/>
      <c r="H7" s="462"/>
      <c r="I7" s="462"/>
      <c r="J7" s="462"/>
      <c r="K7" s="1023">
        <f>Haftungsausschluß!F30</f>
        <v>1000</v>
      </c>
      <c r="L7" s="1024"/>
      <c r="M7" s="1017" t="s">
        <v>2100</v>
      </c>
      <c r="N7" s="1018"/>
      <c r="O7" s="353"/>
      <c r="P7" s="353"/>
      <c r="Q7" s="353"/>
      <c r="R7" s="353"/>
      <c r="S7" s="353"/>
      <c r="T7" s="492">
        <v>1</v>
      </c>
      <c r="U7" s="353"/>
      <c r="V7" s="353"/>
      <c r="W7" s="353"/>
      <c r="X7" s="353"/>
      <c r="Y7" s="353"/>
      <c r="Z7" s="353"/>
      <c r="AA7" s="353"/>
      <c r="AB7" s="353"/>
      <c r="AC7" s="353"/>
      <c r="AD7" s="353"/>
      <c r="AE7" s="1019" t="str">
        <f>VLOOKUP("Teilsicherheit Material:",Sprachindex!A:Z,Haftungsausschluß!$O$6,FALSE)</f>
        <v>Teilsicherheit Material:</v>
      </c>
      <c r="AF7" s="1020"/>
      <c r="AG7" s="1020"/>
      <c r="AH7" s="1021"/>
      <c r="AI7" s="1031">
        <f>'Statik 1-Zusatzberechnungen-1'!M9</f>
        <v>1.1000000000000001</v>
      </c>
      <c r="AJ7" s="1032"/>
      <c r="AK7" s="1033"/>
      <c r="AL7" s="437"/>
      <c r="AM7" s="438"/>
      <c r="AN7" s="439"/>
      <c r="AO7" s="353"/>
      <c r="AS7" s="433" t="str">
        <f>VLOOKUP("Dichte Wasser inkl. Geschiebe:",Sprachindex!A:Z,Haftungsausschluß!$O$6,FALSE)</f>
        <v>Dichte Wasser inkl. Geschiebe:</v>
      </c>
      <c r="AT7" s="462"/>
      <c r="AU7" s="462"/>
      <c r="AV7" s="462"/>
      <c r="AW7" s="462"/>
      <c r="AX7" s="462"/>
      <c r="AY7" s="1023">
        <f>Haftungsausschluß!F30</f>
        <v>1000</v>
      </c>
      <c r="AZ7" s="1024"/>
      <c r="BA7" s="1017" t="s">
        <v>2100</v>
      </c>
      <c r="BB7" s="1018"/>
      <c r="BC7" s="564"/>
      <c r="BD7" s="564"/>
      <c r="BE7" s="564"/>
      <c r="BF7" s="564"/>
      <c r="BG7" s="564"/>
      <c r="BH7" s="564"/>
      <c r="BI7" s="564"/>
      <c r="BJ7" s="564"/>
      <c r="BK7" s="564"/>
      <c r="BL7" s="564"/>
      <c r="BM7" s="564"/>
      <c r="BN7" s="564"/>
      <c r="BO7" s="564"/>
      <c r="BP7" s="564"/>
      <c r="BQ7" s="564"/>
      <c r="BS7" s="1017" t="str">
        <f>VLOOKUP("Teilsicherheit Material:",Sprachindex!A:Z,Haftungsausschluß!$O$6,FALSE)</f>
        <v>Teilsicherheit Material:</v>
      </c>
      <c r="BT7" s="1022"/>
      <c r="BU7" s="1022"/>
      <c r="BV7" s="1018"/>
      <c r="BW7" s="1025">
        <f>'Statik 1-Zusatzberechnungen-1'!M9</f>
        <v>1.1000000000000001</v>
      </c>
      <c r="BX7" s="1026"/>
      <c r="BY7" s="1027"/>
      <c r="BZ7" s="434"/>
      <c r="CA7" s="436"/>
      <c r="CB7" s="435"/>
    </row>
    <row r="8" spans="1:80" ht="14.25" customHeight="1">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1028"/>
      <c r="AF8" s="1028"/>
      <c r="AG8" s="1028"/>
      <c r="AH8" s="1028"/>
      <c r="AI8" s="1028"/>
      <c r="AJ8" s="1028"/>
      <c r="AK8" s="1028"/>
      <c r="AL8" s="438"/>
      <c r="AM8" s="438"/>
      <c r="AN8" s="438"/>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row>
    <row r="9" spans="1:80" ht="289.2" thickBot="1">
      <c r="A9" s="442"/>
      <c r="B9" s="440" t="str">
        <f>VLOOKUP("Feld Nr.",Sprachindex!$A:$Z,Haftungsausschluß!$O$6,FALSE)</f>
        <v>Feld Nr.</v>
      </c>
      <c r="C9" s="440" t="str">
        <f>VLOOKUP("Hydrodynamischer Druck am Balken:",Sprachindex!A:Z,Haftungsausschluß!$O$6,FALSE) &amp; " " &amp; "[N/mm]"</f>
        <v>Hydrodynamischer Druck am Balken: [N/mm]</v>
      </c>
      <c r="D9" s="440" t="str">
        <f>VLOOKUP("Hydrostatischer Druck am Balken:",Sprachindex!A:Z,Haftungsausschluß!$O$6,FALSE) &amp; " " &amp; "[N/mm]"</f>
        <v>Hydrostatischer Druck am Balken: [N/mm]</v>
      </c>
      <c r="E9" s="440" t="str">
        <f>VLOOKUP("Hydrostatischer + Hydrodynamischer Druck am Balken:",Sprachindex!A:Z,Haftungsausschluß!$O$6,FALSE) &amp; " " &amp; "[N/mm]"</f>
        <v>Hydrostatischer + Hydrodynamischer Druck am Balken: [N/mm]</v>
      </c>
      <c r="F9" s="440" t="str">
        <f>VLOOKUP("Durchbiegung HD:",Sprachindex!A:Z,Haftungsausschluß!$O$6,FALSE) &amp; " " &amp; "[mm]"</f>
        <v>Durchbiegung HD: [mm]</v>
      </c>
      <c r="G9" s="440" t="str">
        <f>VLOOKUP("Durchbiegung HS:",Sprachindex!A:Z,Haftungsausschluß!$O$6,FALSE) &amp; " " &amp; "[mm]"</f>
        <v>Durchbiegung HS: [mm]</v>
      </c>
      <c r="H9" s="440" t="str">
        <f>VLOOKUP("Durchbiegung HD+HS:",Sprachindex!A:Z,Haftungsausschluß!$O$6,FALSE) &amp; " " &amp; "[mm]"</f>
        <v>Durchbiegung HD+HS: [mm]</v>
      </c>
      <c r="I9" s="440" t="str">
        <f>VLOOKUP("Stützweite / Durchbiegung HD:",Sprachindex!A:Z,Haftungsausschluß!$O$6,FALSE)</f>
        <v>Stützweite / Durchbiegung HD:</v>
      </c>
      <c r="J9" s="440" t="str">
        <f>VLOOKUP("Stützweite / Durchbiegung HS:",Sprachindex!A:Z,Haftungsausschluß!$O$6,FALSE)</f>
        <v>Stützweite / Durchbiegung HS:</v>
      </c>
      <c r="K9" s="441" t="str">
        <f>VLOOKUP("Stützweite / Durchbiegung HD+HS:",Sprachindex!A:Z,Haftungsausschluß!$O$6,FALSE)</f>
        <v>Stützweite / Durchbiegung HD+HS:</v>
      </c>
      <c r="L9" s="440"/>
      <c r="M9" s="446" t="str">
        <f>VLOOKUP("Hydrodynamisch (HD) &amp; Hydrostatisch (HS)",Sprachindex!A:Z,Haftungsausschluß!$O$6,FALSE)</f>
        <v>Hydrodynamisch (HD) &amp; Hydrostatisch (HS)</v>
      </c>
      <c r="N9" s="440" t="str">
        <f>VLOOKUP("Moment zufolge HD:",Sprachindex!A:Z,Haftungsausschluß!$O$6,FALSE) &amp; " " &amp; "[kNm]"</f>
        <v>Moment zufolge HD: [kNm]</v>
      </c>
      <c r="O9" s="440" t="str">
        <f>VLOOKUP("Moment zufolge HS:",Sprachindex!A:Z,Haftungsausschluß!$O$6,FALSE) &amp; " " &amp; "[kNm]"</f>
        <v>Moment zufolge HS: [kNm]</v>
      </c>
      <c r="P9" s="440" t="str">
        <f>VLOOKUP("Moment zufolge HD+HS:",Sprachindex!A:Z,Haftungsausschluß!$O$6,FALSE) &amp; " " &amp; "[kNm]"</f>
        <v>Moment zufolge HD+HS: [kNm]</v>
      </c>
      <c r="Q9" s="440" t="str">
        <f>VLOOKUP("Teilsicherheit Last:",Sprachindex!A:Z,Haftungsausschluß!$O$6,FALSE)</f>
        <v>Teilsicherheit Last:</v>
      </c>
      <c r="R9" s="440" t="str">
        <f>VLOOKUP("Bemessungsmoment HD:",Sprachindex!A:Z,Haftungsausschluß!$O$6,FALSE) &amp; " " &amp; "[kNm]"</f>
        <v>Bemessungsmoment HD: [kNm]</v>
      </c>
      <c r="S9" s="440" t="str">
        <f>VLOOKUP("Bemessungsmoment HS:",Sprachindex!A:Z,Haftungsausschluß!$O$6,FALSE) &amp; " " &amp; "[kNm]"</f>
        <v>Bemessungsmoment HS: [kNm]</v>
      </c>
      <c r="T9" s="440" t="str">
        <f>VLOOKUP("Bemessungsmoment HD+HS:",Sprachindex!A:Z,Haftungsausschluß!$O$6,FALSE) &amp; " " &amp; "[kNm]"</f>
        <v>Bemessungsmoment HD+HS: [kNm]</v>
      </c>
      <c r="U9" s="440" t="str">
        <f>VLOOKUP("Spannung HD:",Sprachindex!A:Z,Haftungsausschluß!$O$6,FALSE) &amp; " " &amp; "[N/mm²]"</f>
        <v>Spannung HD: [N/mm²]</v>
      </c>
      <c r="V9" s="440" t="str">
        <f>VLOOKUP("Spannung HS:",Sprachindex!A:Z,Haftungsausschluß!$O$6,FALSE) &amp; " " &amp; "[N/mm²]"</f>
        <v>Spannung HS: [N/mm²]</v>
      </c>
      <c r="W9" s="440" t="str">
        <f>VLOOKUP("Spannung HD+HS:",Sprachindex!A:Z,Haftungsausschluß!$O$6,FALSE) &amp; " " &amp; "[N/mm²]"</f>
        <v>Spannung HD+HS: [N/mm²]</v>
      </c>
      <c r="X9" s="440" t="str">
        <f>VLOOKUP("Ausnutzung HD:",Sprachindex!A:Z,Haftungsausschluß!$O$6,FALSE)</f>
        <v>Ausnutzung HD:</v>
      </c>
      <c r="Y9" s="440" t="str">
        <f>VLOOKUP("Ausnutzung HS:",Sprachindex!A:Z,Haftungsausschluß!$O$6,FALSE)</f>
        <v>Ausnutzung HS:</v>
      </c>
      <c r="Z9" s="441" t="str">
        <f>VLOOKUP("Ausnutzung HD+HS:",Sprachindex!A:Z,Haftungsausschluß!$O$6,FALSE)</f>
        <v>Ausnutzung HD+HS:</v>
      </c>
      <c r="AA9" s="440"/>
      <c r="AB9" s="447" t="str">
        <f>VLOOKUP("Treibgut",Sprachindex!A:Z,Haftungsausschluß!$O$6,FALSE)</f>
        <v>Treibgut</v>
      </c>
      <c r="AC9" s="440" t="str">
        <f>VLOOKUP("Ersatzfedersteifigkeit:",Sprachindex!A:Z,Haftungsausschluß!$O$6,FALSE) &amp; " " &amp; "[kN/m]"</f>
        <v>Ersatzfedersteifigkeit: [kN/m]</v>
      </c>
      <c r="AD9" s="440" t="str">
        <f>VLOOKUP("Ersatzlast für Treibgutanprall:",Sprachindex!A:Z,Haftungsausschluß!$O$6,FALSE) &amp; " " &amp; "[kN]"</f>
        <v>Ersatzlast für Treibgutanprall: [kN]</v>
      </c>
      <c r="AE9" s="440" t="str">
        <f>VLOOKUP("Moment zufolge Treibgut:",Sprachindex!A:Z,Haftungsausschluß!$O$6,FALSE) &amp; " " &amp; "[kNm]"</f>
        <v>Moment zufolge Treibgut: [kNm]</v>
      </c>
      <c r="AF9" s="440" t="str">
        <f>VLOOKUP("Teilsicherheit Last:",Sprachindex!A:Z,Haftungsausschluß!$O$6,FALSE)</f>
        <v>Teilsicherheit Last:</v>
      </c>
      <c r="AG9" s="440" t="str">
        <f>VLOOKUP("Bemessungsmoment Treibgut:",Sprachindex!A:Z,Haftungsausschluß!$O$6,FALSE) &amp; " " &amp; "[kNm]"</f>
        <v>Bemessungsmoment Treibgut: [kNm]</v>
      </c>
      <c r="AH9" s="440" t="str">
        <f>VLOOKUP("Spannung infolge Treibgut:",Sprachindex!A:Z,Haftungsausschluß!$O$6,FALSE) &amp; " " &amp; "[N/mm²]"</f>
        <v>Spannung infolge Treibgut: [N/mm²]</v>
      </c>
      <c r="AI9" s="441" t="str">
        <f>VLOOKUP("Ausnutzung:",Sprachindex!A:Z,Haftungsausschluß!$O$6,FALSE)</f>
        <v>Ausnutzung:</v>
      </c>
      <c r="AJ9" s="440"/>
      <c r="AK9" s="448" t="str">
        <f>VLOOKUP("Kombination Hydrodynamisch + Hydrostatisch + Treibgut",Sprachindex!A:Z,Haftungsausschluß!$O$6,FALSE)</f>
        <v>Kombination Hydrodynamisch + Hydrostatisch + Treibgut</v>
      </c>
      <c r="AL9" s="440" t="str">
        <f>VLOOKUP("Kombinationsbeiwert:",Sprachindex!A:Z,Haftungsausschluß!$O$6,FALSE)</f>
        <v>Kombinationsbeiwert:</v>
      </c>
      <c r="AM9" s="440" t="str">
        <f>VLOOKUP("Spannung zufolge",Sprachindex!A:Z,Haftungsausschluß!$O$6,FALSE)
&amp;" pStr, p0, F: Sk" &amp; " " &amp; "[N/mm²]"</f>
        <v>Spannung zufolge pStr, p0, F: Sk [N/mm²]</v>
      </c>
      <c r="AN9" s="452" t="str">
        <f>VLOOKUP("Ausnutzung zufolge",Sprachindex!A:Z,Haftungsausschluß!$O$6,FALSE) &amp; " pStr, p0, F"</f>
        <v>Ausnutzung zufolge pStr, p0, F</v>
      </c>
      <c r="AO9" s="469"/>
      <c r="AP9" s="440" t="str">
        <f>VLOOKUP("Steher Nr.",Sprachindex!$A:$Z,Haftungsausschluß!$O$6,FALSE)</f>
        <v>Steher Nr.</v>
      </c>
      <c r="AQ9" s="440" t="str">
        <f>VLOOKUP("Hydrodynamischer Druck am Steher:",Sprachindex!A:Z,Haftungsausschluß!$O$6,FALSE) &amp; " " &amp; "[N/mm]"</f>
        <v>Hydrodynamischer Druck am Steher: [N/mm]</v>
      </c>
      <c r="AR9" s="440" t="str">
        <f>VLOOKUP("Hydrostatischer Druck am Steher:",Sprachindex!A:Z,Haftungsausschluß!$O$6,FALSE) &amp; " " &amp; "[N/mm]"</f>
        <v>Hydrostatischer Druck am Steher: [N/mm]</v>
      </c>
      <c r="AS9" s="440" t="str">
        <f>VLOOKUP("Hydrostatischer + Hydrodynamischer Druck am Balken:",Sprachindex!A:Z,Haftungsausschluß!$O$6,FALSE) &amp; " " &amp; "[N/mm]"</f>
        <v>Hydrostatischer + Hydrodynamischer Druck am Balken: [N/mm]</v>
      </c>
      <c r="AT9" s="440" t="str">
        <f>VLOOKUP("Durchbiegung:",Sprachindex!A:Z,Haftungsausschluß!$O$6,FALSE) &amp; " " &amp; "[mm]"</f>
        <v>Durchbiegung: [mm]</v>
      </c>
      <c r="AU9" s="441" t="str">
        <f>VLOOKUP("Stützweite / Durchbiegung:",Sprachindex!A:Z,Haftungsausschluß!$O$6,FALSE)</f>
        <v>Stützweite / Durchbiegung:</v>
      </c>
      <c r="AV9" s="440"/>
      <c r="AW9" s="446" t="str">
        <f>VLOOKUP("Hydrodynamisch (HD) &amp; Hydrostatisch (HS)",Sprachindex!A:Z,Haftungsausschluß!$O$6,FALSE)</f>
        <v>Hydrodynamisch (HD) &amp; Hydrostatisch (HS)</v>
      </c>
      <c r="AX9" s="440" t="str">
        <f>VLOOKUP("Moment zufolge Gesamtdruck:",Sprachindex!A:Z,Haftungsausschluß!$O$6,FALSE) &amp; " " &amp; "[kNm]"</f>
        <v>Moment zufolge Gesamtdruck: [kNm]</v>
      </c>
      <c r="AY9" s="440" t="str">
        <f>VLOOKUP("Teilsicherheit Last:",Sprachindex!A:Z,Haftungsausschluß!$O$6,FALSE)</f>
        <v>Teilsicherheit Last:</v>
      </c>
      <c r="AZ9" s="440" t="str">
        <f>VLOOKUP("Bemessungsmoment:",Sprachindex!A:Z,Haftungsausschluß!$O$6,FALSE) &amp; " " &amp; "[kNm]"</f>
        <v>Bemessungsmoment: [kNm]</v>
      </c>
      <c r="BA9" s="440" t="str">
        <f>VLOOKUP("Spannung:",Sprachindex!A:Z,Haftungsausschluß!$O$6,FALSE) &amp; " " &amp; "[N/mm²]"</f>
        <v>Spannung: [N/mm²]</v>
      </c>
      <c r="BB9" s="441" t="str">
        <f>VLOOKUP("Ausnutzung:",Sprachindex!A:Z,Haftungsausschluß!$O$6,FALSE)</f>
        <v>Ausnutzung:</v>
      </c>
      <c r="BC9" s="440"/>
      <c r="BD9" s="447" t="str">
        <f>VLOOKUP("Treibgut",Sprachindex!A:Z,Haftungsausschluß!$O$6,FALSE)</f>
        <v>Treibgut</v>
      </c>
      <c r="BE9" s="440" t="str">
        <f>VLOOKUP("Ersatzfedersteifigkeit:",Sprachindex!A:Z,Haftungsausschluß!$O$6,FALSE) &amp; " " &amp; "[kN/m]"</f>
        <v>Ersatzfedersteifigkeit: [kN/m]</v>
      </c>
      <c r="BF9" s="440" t="str">
        <f>VLOOKUP("Ersatzlast für Treibgutanprall:",Sprachindex!A:Z,Haftungsausschluß!$O$6,FALSE) &amp; " " &amp; "[kN]"</f>
        <v>Ersatzlast für Treibgutanprall: [kN]</v>
      </c>
      <c r="BG9" s="440" t="str">
        <f>VLOOKUP("Moment zufolge Treibgut:",Sprachindex!A:Z,Haftungsausschluß!$O$6,FALSE) &amp; " " &amp; "[kNm]"</f>
        <v>Moment zufolge Treibgut: [kNm]</v>
      </c>
      <c r="BH9" s="440" t="str">
        <f>VLOOKUP("Teilsicherheit Last:",Sprachindex!A:Z,Haftungsausschluß!$O$6,FALSE)</f>
        <v>Teilsicherheit Last:</v>
      </c>
      <c r="BI9" s="440" t="str">
        <f>VLOOKUP("Bemessungsmoment Treibgut:",Sprachindex!A:Z,Haftungsausschluß!$O$6,FALSE) &amp; " " &amp; "[kNm]"</f>
        <v>Bemessungsmoment Treibgut: [kNm]</v>
      </c>
      <c r="BJ9" s="440" t="str">
        <f>VLOOKUP("Spannung  infolge Treibgut:",Sprachindex!A:Z,Haftungsausschluß!$O$6,FALSE) &amp; " " &amp; "[N/mm²]"</f>
        <v>Spannung  infolge Treibgut: [N/mm²]</v>
      </c>
      <c r="BK9" s="441" t="str">
        <f>VLOOKUP("Ausnutzung:",Sprachindex!A:Z,Haftungsausschluß!$O$6,FALSE)</f>
        <v>Ausnutzung:</v>
      </c>
      <c r="BL9" s="440"/>
      <c r="BM9" s="448" t="str">
        <f>VLOOKUP("Kombination Hydrodynamisch + Hydrostatisch + Treibgut",Sprachindex!A:Z,Haftungsausschluß!$O$6,FALSE)</f>
        <v>Kombination Hydrodynamisch + Hydrostatisch + Treibgut</v>
      </c>
      <c r="BN9" s="440" t="str">
        <f>VLOOKUP("Kombinationsbeiwert:",Sprachindex!A:Z,Haftungsausschluß!$O$6,FALSE)</f>
        <v>Kombinationsbeiwert:</v>
      </c>
      <c r="BO9" s="440" t="str">
        <f>VLOOKUP("Spannung zufolge",Sprachindex!A:Z,Haftungsausschluß!$O$6,FALSE) &amp; " pStr, p0, F: Sk" &amp; " " &amp; "[N/mm²]"</f>
        <v>Spannung zufolge pStr, p0, F: Sk [N/mm²]</v>
      </c>
      <c r="BP9" s="441" t="str">
        <f>VLOOKUP("Ausnutzung zufolge",Sprachindex!A:Z,Haftungsausschluß!$O$6,FALSE) &amp; " pStr, p0, F"</f>
        <v>Ausnutzung zufolge pStr, p0, F</v>
      </c>
    </row>
    <row r="10" spans="1:80" ht="14.25" customHeight="1">
      <c r="A10" s="442"/>
      <c r="B10" s="431">
        <v>1</v>
      </c>
      <c r="C10" s="449">
        <v>0</v>
      </c>
      <c r="D10" s="449">
        <v>1.8</v>
      </c>
      <c r="E10" s="449">
        <v>1.8</v>
      </c>
      <c r="F10" s="449">
        <v>0</v>
      </c>
      <c r="G10" s="449">
        <v>0.72260932187747351</v>
      </c>
      <c r="H10" s="449">
        <v>0.72260932187747351</v>
      </c>
      <c r="I10" s="450">
        <v>0</v>
      </c>
      <c r="J10" s="450">
        <v>1502.8867842146983</v>
      </c>
      <c r="K10" s="451">
        <v>1502.8867842146983</v>
      </c>
      <c r="L10" s="431"/>
      <c r="M10" s="566"/>
      <c r="N10" s="449">
        <v>0</v>
      </c>
      <c r="O10" s="449">
        <v>0.26536410000000005</v>
      </c>
      <c r="P10" s="449">
        <v>0.26536410000000005</v>
      </c>
      <c r="Q10" s="449">
        <v>1.35</v>
      </c>
      <c r="R10" s="449">
        <v>0</v>
      </c>
      <c r="S10" s="449">
        <v>0.35824153500000011</v>
      </c>
      <c r="T10" s="449">
        <v>0.35824153500000011</v>
      </c>
      <c r="U10" s="449">
        <v>0</v>
      </c>
      <c r="V10" s="449">
        <v>13.895908939983773</v>
      </c>
      <c r="W10" s="449">
        <v>13.895908939983773</v>
      </c>
      <c r="X10" s="431">
        <v>0</v>
      </c>
      <c r="Y10" s="431">
        <v>7.6427499169910762E-2</v>
      </c>
      <c r="Z10" s="451">
        <v>7.6427499169910762E-2</v>
      </c>
      <c r="AA10" s="431"/>
      <c r="AB10" s="567"/>
      <c r="AC10" s="449">
        <v>5072.2428967246069</v>
      </c>
      <c r="AD10" s="449">
        <v>0</v>
      </c>
      <c r="AE10" s="449">
        <v>0</v>
      </c>
      <c r="AF10" s="449">
        <v>1.35</v>
      </c>
      <c r="AG10" s="449">
        <v>0</v>
      </c>
      <c r="AH10" s="449">
        <v>0</v>
      </c>
      <c r="AI10" s="451">
        <v>0</v>
      </c>
      <c r="AJ10" s="431"/>
      <c r="AK10" s="568"/>
      <c r="AL10" s="431">
        <v>1</v>
      </c>
      <c r="AM10" s="450">
        <v>13.895908939983773</v>
      </c>
      <c r="AN10" s="453">
        <v>7.6427499169910762E-2</v>
      </c>
      <c r="AO10" s="469"/>
      <c r="AP10" s="455"/>
      <c r="AQ10" s="454"/>
      <c r="AR10" s="454"/>
      <c r="AS10" s="454"/>
      <c r="AT10" s="454"/>
      <c r="AU10" s="456"/>
      <c r="AV10" s="457"/>
      <c r="AW10" s="574"/>
      <c r="AX10" s="454"/>
      <c r="AY10" s="454"/>
      <c r="AZ10" s="454"/>
      <c r="BA10" s="454"/>
      <c r="BB10" s="458"/>
      <c r="BC10" s="455"/>
      <c r="BD10" s="575"/>
      <c r="BE10" s="355"/>
      <c r="BF10" s="355"/>
      <c r="BG10" s="355"/>
      <c r="BH10" s="355"/>
      <c r="BI10" s="355"/>
      <c r="BJ10" s="355"/>
      <c r="BK10" s="458"/>
      <c r="BL10" s="455"/>
      <c r="BM10" s="576"/>
      <c r="BN10" s="455"/>
      <c r="BO10" s="455"/>
      <c r="BP10" s="458"/>
    </row>
    <row r="11" spans="1:80" ht="14.25" hidden="1" customHeight="1" thickBot="1">
      <c r="A11" s="442"/>
      <c r="B11" s="432"/>
      <c r="C11" s="463"/>
      <c r="D11" s="463"/>
      <c r="E11" s="463"/>
      <c r="F11" s="463"/>
      <c r="G11" s="463"/>
      <c r="H11" s="463"/>
      <c r="I11" s="444"/>
      <c r="J11" s="444"/>
      <c r="K11" s="445"/>
      <c r="L11" s="432"/>
      <c r="M11" s="569"/>
      <c r="N11" s="463"/>
      <c r="O11" s="463"/>
      <c r="P11" s="463"/>
      <c r="Q11" s="432"/>
      <c r="R11" s="463"/>
      <c r="S11" s="463"/>
      <c r="T11" s="463"/>
      <c r="U11" s="463"/>
      <c r="V11" s="463"/>
      <c r="W11" s="463"/>
      <c r="X11" s="432"/>
      <c r="Y11" s="432"/>
      <c r="Z11" s="445"/>
      <c r="AA11" s="432"/>
      <c r="AB11" s="570"/>
      <c r="AC11" s="464"/>
      <c r="AD11" s="464"/>
      <c r="AE11" s="464"/>
      <c r="AF11" s="464"/>
      <c r="AG11" s="464"/>
      <c r="AH11" s="432"/>
      <c r="AI11" s="445"/>
      <c r="AJ11" s="432"/>
      <c r="AK11" s="571"/>
      <c r="AL11" s="432"/>
      <c r="AM11" s="463"/>
      <c r="AN11" s="465"/>
      <c r="AO11" s="469"/>
      <c r="AP11" s="459"/>
      <c r="AQ11" s="466"/>
      <c r="AR11" s="466"/>
      <c r="AS11" s="466"/>
      <c r="AT11" s="466"/>
      <c r="AU11" s="460"/>
      <c r="AV11" s="466"/>
      <c r="AW11" s="577"/>
      <c r="AX11" s="467"/>
      <c r="AY11" s="461"/>
      <c r="AZ11" s="467"/>
      <c r="BA11" s="466"/>
      <c r="BB11" s="460"/>
      <c r="BC11" s="459"/>
      <c r="BD11" s="578"/>
      <c r="BE11" s="463"/>
      <c r="BF11" s="463"/>
      <c r="BG11" s="463"/>
      <c r="BH11" s="466"/>
      <c r="BI11" s="464"/>
      <c r="BJ11" s="464"/>
      <c r="BK11" s="460"/>
      <c r="BL11" s="459"/>
      <c r="BM11" s="579"/>
      <c r="BN11" s="459"/>
      <c r="BO11" s="464"/>
      <c r="BP11" s="460"/>
    </row>
    <row r="12" spans="1:80" ht="14.25" hidden="1" customHeight="1">
      <c r="A12" s="442"/>
      <c r="B12" s="443"/>
      <c r="C12" s="470"/>
      <c r="D12" s="470"/>
      <c r="E12" s="470"/>
      <c r="F12" s="470"/>
      <c r="G12" s="470"/>
      <c r="H12" s="470"/>
      <c r="I12" s="471"/>
      <c r="J12" s="471"/>
      <c r="K12" s="472"/>
      <c r="L12" s="572"/>
      <c r="M12" s="573"/>
      <c r="N12" s="470"/>
      <c r="O12" s="470"/>
      <c r="P12" s="470"/>
      <c r="Q12" s="470"/>
      <c r="R12" s="470"/>
      <c r="S12" s="470"/>
      <c r="T12" s="470"/>
      <c r="U12" s="470"/>
      <c r="V12" s="470"/>
      <c r="W12" s="470"/>
      <c r="X12" s="470"/>
      <c r="Y12" s="470"/>
      <c r="Z12" s="470"/>
      <c r="AA12" s="468"/>
      <c r="AB12" s="468"/>
      <c r="AC12" s="470"/>
      <c r="AD12" s="470"/>
      <c r="AE12" s="470"/>
      <c r="AF12" s="468"/>
      <c r="AG12" s="470"/>
      <c r="AH12" s="470"/>
      <c r="AI12" s="470"/>
      <c r="AJ12" s="468"/>
      <c r="AK12" s="468"/>
      <c r="AL12" s="468"/>
      <c r="AM12" s="470"/>
      <c r="AN12" s="470"/>
      <c r="AO12" s="488"/>
      <c r="AP12" s="468"/>
      <c r="AQ12" s="470"/>
      <c r="AR12" s="470"/>
      <c r="AS12" s="470"/>
      <c r="AT12" s="470"/>
      <c r="AU12" s="470"/>
      <c r="AV12" s="470"/>
      <c r="AW12" s="470"/>
      <c r="AX12" s="470"/>
      <c r="AY12" s="468"/>
      <c r="AZ12" s="470"/>
      <c r="BA12" s="470"/>
      <c r="BB12" s="470"/>
      <c r="BC12" s="470"/>
      <c r="BD12" s="470"/>
      <c r="BE12" s="470"/>
      <c r="BF12" s="470"/>
      <c r="BG12" s="470"/>
      <c r="BH12" s="468"/>
      <c r="BI12" s="470"/>
      <c r="BJ12" s="470"/>
      <c r="BK12" s="470"/>
      <c r="BL12" s="468"/>
      <c r="BM12" s="468"/>
      <c r="BN12" s="468"/>
      <c r="BO12" s="470"/>
      <c r="BP12" s="470"/>
    </row>
    <row r="13" spans="1:80" ht="14.25" hidden="1" customHeight="1">
      <c r="A13" s="442"/>
      <c r="B13" s="473"/>
      <c r="C13" s="474"/>
      <c r="D13" s="474"/>
      <c r="E13" s="474"/>
      <c r="F13" s="474"/>
      <c r="G13" s="474"/>
      <c r="H13" s="474"/>
      <c r="I13" s="475"/>
      <c r="J13" s="475"/>
      <c r="K13" s="475"/>
      <c r="L13" s="474"/>
      <c r="M13" s="474"/>
      <c r="N13" s="474"/>
      <c r="O13" s="474"/>
      <c r="P13" s="474"/>
      <c r="Q13" s="474"/>
      <c r="R13" s="474"/>
      <c r="S13" s="474"/>
      <c r="T13" s="474"/>
      <c r="U13" s="474"/>
      <c r="V13" s="474"/>
      <c r="W13" s="476"/>
      <c r="X13" s="477"/>
      <c r="Y13" s="477"/>
      <c r="Z13" s="477"/>
      <c r="AA13" s="478"/>
      <c r="AB13" s="478"/>
      <c r="AC13" s="477"/>
      <c r="AD13" s="477"/>
      <c r="AE13" s="477"/>
      <c r="AF13" s="478"/>
      <c r="AG13" s="477"/>
      <c r="AH13" s="477"/>
      <c r="AI13" s="477"/>
      <c r="AJ13" s="478"/>
      <c r="AK13" s="478"/>
      <c r="AL13" s="478"/>
      <c r="AM13" s="477"/>
      <c r="AN13" s="486"/>
      <c r="AO13" s="489"/>
      <c r="AP13" s="484"/>
      <c r="AQ13" s="477"/>
      <c r="AR13" s="477"/>
      <c r="AS13" s="477"/>
      <c r="AT13" s="477"/>
      <c r="AU13" s="477"/>
      <c r="AV13" s="477"/>
      <c r="AW13" s="477"/>
      <c r="AX13" s="477"/>
      <c r="AY13" s="478"/>
      <c r="AZ13" s="477"/>
      <c r="BA13" s="477"/>
      <c r="BB13" s="477"/>
      <c r="BC13" s="477"/>
      <c r="BD13" s="477"/>
      <c r="BE13" s="477"/>
      <c r="BF13" s="477"/>
      <c r="BG13" s="477"/>
      <c r="BH13" s="478"/>
      <c r="BI13" s="477"/>
      <c r="BJ13" s="477"/>
      <c r="BK13" s="477"/>
      <c r="BL13" s="478"/>
      <c r="BM13" s="478"/>
      <c r="BN13" s="478"/>
      <c r="BO13" s="477"/>
      <c r="BP13" s="477"/>
    </row>
    <row r="14" spans="1:80" ht="14.25" hidden="1" customHeight="1">
      <c r="A14" s="442"/>
      <c r="B14" s="473"/>
      <c r="C14" s="474"/>
      <c r="D14" s="474"/>
      <c r="E14" s="474"/>
      <c r="F14" s="474"/>
      <c r="G14" s="474"/>
      <c r="H14" s="474"/>
      <c r="I14" s="475"/>
      <c r="J14" s="475"/>
      <c r="K14" s="475"/>
      <c r="L14" s="474"/>
      <c r="M14" s="474"/>
      <c r="N14" s="474"/>
      <c r="O14" s="474"/>
      <c r="P14" s="474"/>
      <c r="Q14" s="474"/>
      <c r="R14" s="474"/>
      <c r="S14" s="474"/>
      <c r="T14" s="474"/>
      <c r="U14" s="474"/>
      <c r="V14" s="474"/>
      <c r="W14" s="476"/>
      <c r="X14" s="477"/>
      <c r="Y14" s="477"/>
      <c r="Z14" s="477"/>
      <c r="AA14" s="478"/>
      <c r="AB14" s="478"/>
      <c r="AC14" s="477"/>
      <c r="AD14" s="477"/>
      <c r="AE14" s="477"/>
      <c r="AF14" s="478"/>
      <c r="AG14" s="477"/>
      <c r="AH14" s="477"/>
      <c r="AI14" s="477"/>
      <c r="AJ14" s="478"/>
      <c r="AK14" s="478"/>
      <c r="AL14" s="478"/>
      <c r="AM14" s="477"/>
      <c r="AN14" s="486"/>
      <c r="AO14" s="489"/>
      <c r="AP14" s="484"/>
      <c r="AQ14" s="477"/>
      <c r="AR14" s="477"/>
      <c r="AS14" s="477"/>
      <c r="AT14" s="477"/>
      <c r="AU14" s="477"/>
      <c r="AV14" s="477"/>
      <c r="AW14" s="477"/>
      <c r="AX14" s="477"/>
      <c r="AY14" s="478"/>
      <c r="AZ14" s="477"/>
      <c r="BA14" s="477"/>
      <c r="BB14" s="477"/>
      <c r="BC14" s="477"/>
      <c r="BD14" s="477"/>
      <c r="BE14" s="477"/>
      <c r="BF14" s="477"/>
      <c r="BG14" s="477"/>
      <c r="BH14" s="478"/>
      <c r="BI14" s="477"/>
      <c r="BJ14" s="477"/>
      <c r="BK14" s="477"/>
      <c r="BL14" s="478"/>
      <c r="BM14" s="478"/>
      <c r="BN14" s="478"/>
      <c r="BO14" s="477"/>
      <c r="BP14" s="477"/>
    </row>
    <row r="15" spans="1:80" ht="14.25" hidden="1" customHeight="1">
      <c r="A15" s="442"/>
      <c r="B15" s="473"/>
      <c r="C15" s="474"/>
      <c r="D15" s="474"/>
      <c r="E15" s="474"/>
      <c r="F15" s="474"/>
      <c r="G15" s="474"/>
      <c r="H15" s="474"/>
      <c r="I15" s="475"/>
      <c r="J15" s="475"/>
      <c r="K15" s="475"/>
      <c r="L15" s="474"/>
      <c r="M15" s="474"/>
      <c r="N15" s="474"/>
      <c r="O15" s="474"/>
      <c r="P15" s="474"/>
      <c r="Q15" s="474"/>
      <c r="R15" s="474"/>
      <c r="S15" s="474"/>
      <c r="T15" s="474"/>
      <c r="U15" s="474"/>
      <c r="V15" s="474"/>
      <c r="W15" s="476"/>
      <c r="X15" s="477"/>
      <c r="Y15" s="477"/>
      <c r="Z15" s="477"/>
      <c r="AA15" s="478"/>
      <c r="AB15" s="478"/>
      <c r="AC15" s="477"/>
      <c r="AD15" s="477"/>
      <c r="AE15" s="477"/>
      <c r="AF15" s="478"/>
      <c r="AG15" s="477"/>
      <c r="AH15" s="477"/>
      <c r="AI15" s="477"/>
      <c r="AJ15" s="478"/>
      <c r="AK15" s="478"/>
      <c r="AL15" s="478"/>
      <c r="AM15" s="477"/>
      <c r="AN15" s="486"/>
      <c r="AO15" s="489"/>
      <c r="AP15" s="484"/>
      <c r="AQ15" s="477"/>
      <c r="AR15" s="477"/>
      <c r="AS15" s="477"/>
      <c r="AT15" s="477"/>
      <c r="AU15" s="477"/>
      <c r="AV15" s="477"/>
      <c r="AW15" s="477"/>
      <c r="AX15" s="477"/>
      <c r="AY15" s="478"/>
      <c r="AZ15" s="477"/>
      <c r="BA15" s="477"/>
      <c r="BB15" s="477"/>
      <c r="BC15" s="477"/>
      <c r="BD15" s="477"/>
      <c r="BE15" s="477"/>
      <c r="BF15" s="477"/>
      <c r="BG15" s="477"/>
      <c r="BH15" s="478"/>
      <c r="BI15" s="477"/>
      <c r="BJ15" s="477"/>
      <c r="BK15" s="477"/>
      <c r="BL15" s="478"/>
      <c r="BM15" s="478"/>
      <c r="BN15" s="478"/>
      <c r="BO15" s="477"/>
      <c r="BP15" s="477"/>
    </row>
    <row r="16" spans="1:80" ht="14.25" hidden="1" customHeight="1">
      <c r="A16" s="442"/>
      <c r="B16" s="473"/>
      <c r="C16" s="476"/>
      <c r="D16" s="476"/>
      <c r="E16" s="476"/>
      <c r="F16" s="476"/>
      <c r="G16" s="476"/>
      <c r="H16" s="476"/>
      <c r="I16" s="479"/>
      <c r="J16" s="479"/>
      <c r="K16" s="479"/>
      <c r="L16" s="476"/>
      <c r="M16" s="476"/>
      <c r="N16" s="476"/>
      <c r="O16" s="476"/>
      <c r="P16" s="476"/>
      <c r="Q16" s="476"/>
      <c r="R16" s="476"/>
      <c r="S16" s="476"/>
      <c r="T16" s="476"/>
      <c r="U16" s="476"/>
      <c r="V16" s="476"/>
      <c r="W16" s="476"/>
      <c r="X16" s="477"/>
      <c r="Y16" s="477"/>
      <c r="Z16" s="477"/>
      <c r="AA16" s="478"/>
      <c r="AB16" s="478"/>
      <c r="AC16" s="477"/>
      <c r="AD16" s="477"/>
      <c r="AE16" s="477"/>
      <c r="AF16" s="478"/>
      <c r="AG16" s="477"/>
      <c r="AH16" s="477"/>
      <c r="AI16" s="477"/>
      <c r="AJ16" s="478"/>
      <c r="AK16" s="478"/>
      <c r="AL16" s="478"/>
      <c r="AM16" s="477"/>
      <c r="AN16" s="486"/>
      <c r="AO16" s="489"/>
      <c r="AP16" s="484"/>
      <c r="AQ16" s="477"/>
      <c r="AR16" s="477"/>
      <c r="AS16" s="477"/>
      <c r="AT16" s="477"/>
      <c r="AU16" s="477"/>
      <c r="AV16" s="477"/>
      <c r="AW16" s="477"/>
      <c r="AX16" s="477"/>
      <c r="AY16" s="478"/>
      <c r="AZ16" s="477"/>
      <c r="BA16" s="477"/>
      <c r="BB16" s="477"/>
      <c r="BC16" s="477"/>
      <c r="BD16" s="477"/>
      <c r="BE16" s="477"/>
      <c r="BF16" s="477"/>
      <c r="BG16" s="477"/>
      <c r="BH16" s="478"/>
      <c r="BI16" s="477"/>
      <c r="BJ16" s="477"/>
      <c r="BK16" s="477"/>
      <c r="BL16" s="478"/>
      <c r="BM16" s="478"/>
      <c r="BN16" s="478"/>
      <c r="BO16" s="477"/>
      <c r="BP16" s="477"/>
    </row>
    <row r="17" spans="1:68" ht="14.25" hidden="1" customHeight="1">
      <c r="A17" s="442"/>
      <c r="B17" s="473"/>
      <c r="C17" s="476"/>
      <c r="D17" s="476"/>
      <c r="E17" s="476"/>
      <c r="F17" s="476"/>
      <c r="G17" s="476"/>
      <c r="H17" s="476"/>
      <c r="I17" s="479"/>
      <c r="J17" s="479"/>
      <c r="K17" s="479"/>
      <c r="L17" s="476"/>
      <c r="M17" s="476"/>
      <c r="N17" s="476"/>
      <c r="O17" s="476"/>
      <c r="P17" s="476"/>
      <c r="Q17" s="476"/>
      <c r="R17" s="476"/>
      <c r="S17" s="476"/>
      <c r="T17" s="476"/>
      <c r="U17" s="476"/>
      <c r="V17" s="476"/>
      <c r="W17" s="476"/>
      <c r="X17" s="477"/>
      <c r="Y17" s="477"/>
      <c r="Z17" s="477"/>
      <c r="AA17" s="478"/>
      <c r="AB17" s="478"/>
      <c r="AC17" s="477"/>
      <c r="AD17" s="477"/>
      <c r="AE17" s="477"/>
      <c r="AF17" s="478"/>
      <c r="AG17" s="477"/>
      <c r="AH17" s="477"/>
      <c r="AI17" s="477"/>
      <c r="AJ17" s="478"/>
      <c r="AK17" s="478"/>
      <c r="AL17" s="478"/>
      <c r="AM17" s="477"/>
      <c r="AN17" s="486"/>
      <c r="AO17" s="489"/>
      <c r="AP17" s="484"/>
      <c r="AQ17" s="477"/>
      <c r="AR17" s="477"/>
      <c r="AS17" s="477"/>
      <c r="AT17" s="477"/>
      <c r="AU17" s="477"/>
      <c r="AV17" s="477"/>
      <c r="AW17" s="477"/>
      <c r="AX17" s="477"/>
      <c r="AY17" s="478"/>
      <c r="AZ17" s="477"/>
      <c r="BA17" s="477"/>
      <c r="BB17" s="477"/>
      <c r="BC17" s="477"/>
      <c r="BD17" s="477"/>
      <c r="BE17" s="477"/>
      <c r="BF17" s="477"/>
      <c r="BG17" s="477"/>
      <c r="BH17" s="478"/>
      <c r="BI17" s="477"/>
      <c r="BJ17" s="477"/>
      <c r="BK17" s="477"/>
      <c r="BL17" s="478"/>
      <c r="BM17" s="478"/>
      <c r="BN17" s="478"/>
      <c r="BO17" s="477"/>
      <c r="BP17" s="477"/>
    </row>
    <row r="18" spans="1:68" ht="14.25" hidden="1" customHeight="1">
      <c r="A18" s="442"/>
      <c r="B18" s="478"/>
      <c r="C18" s="477"/>
      <c r="D18" s="477"/>
      <c r="E18" s="477"/>
      <c r="F18" s="477"/>
      <c r="G18" s="477"/>
      <c r="H18" s="477"/>
      <c r="I18" s="480"/>
      <c r="J18" s="480"/>
      <c r="K18" s="480"/>
      <c r="L18" s="477"/>
      <c r="M18" s="477"/>
      <c r="N18" s="477"/>
      <c r="O18" s="477"/>
      <c r="P18" s="477"/>
      <c r="Q18" s="477"/>
      <c r="R18" s="477"/>
      <c r="S18" s="477"/>
      <c r="T18" s="477"/>
      <c r="U18" s="477"/>
      <c r="V18" s="477"/>
      <c r="W18" s="477"/>
      <c r="X18" s="477"/>
      <c r="Y18" s="477"/>
      <c r="Z18" s="477"/>
      <c r="AA18" s="478"/>
      <c r="AB18" s="478"/>
      <c r="AC18" s="477"/>
      <c r="AD18" s="477"/>
      <c r="AE18" s="477"/>
      <c r="AF18" s="478"/>
      <c r="AG18" s="477"/>
      <c r="AH18" s="477"/>
      <c r="AI18" s="477"/>
      <c r="AJ18" s="478"/>
      <c r="AK18" s="478"/>
      <c r="AL18" s="478"/>
      <c r="AM18" s="477"/>
      <c r="AN18" s="486"/>
      <c r="AO18" s="489"/>
      <c r="AP18" s="484"/>
      <c r="AQ18" s="477"/>
      <c r="AR18" s="477"/>
      <c r="AS18" s="477"/>
      <c r="AT18" s="477"/>
      <c r="AU18" s="477"/>
      <c r="AV18" s="477"/>
      <c r="AW18" s="477"/>
      <c r="AX18" s="477"/>
      <c r="AY18" s="478"/>
      <c r="AZ18" s="477"/>
      <c r="BA18" s="477"/>
      <c r="BB18" s="477"/>
      <c r="BC18" s="477"/>
      <c r="BD18" s="477"/>
      <c r="BE18" s="477"/>
      <c r="BF18" s="477"/>
      <c r="BG18" s="477"/>
      <c r="BH18" s="478"/>
      <c r="BI18" s="477"/>
      <c r="BJ18" s="477"/>
      <c r="BK18" s="477"/>
      <c r="BL18" s="478"/>
      <c r="BM18" s="478"/>
      <c r="BN18" s="478"/>
      <c r="BO18" s="477"/>
      <c r="BP18" s="477"/>
    </row>
    <row r="19" spans="1:68" ht="14.25" hidden="1" customHeight="1">
      <c r="A19" s="442"/>
      <c r="B19" s="473"/>
      <c r="C19" s="476"/>
      <c r="D19" s="476"/>
      <c r="E19" s="476"/>
      <c r="F19" s="476"/>
      <c r="G19" s="476"/>
      <c r="H19" s="476"/>
      <c r="I19" s="479"/>
      <c r="J19" s="479"/>
      <c r="K19" s="479"/>
      <c r="L19" s="476"/>
      <c r="M19" s="476"/>
      <c r="N19" s="476"/>
      <c r="O19" s="476"/>
      <c r="P19" s="476"/>
      <c r="Q19" s="476"/>
      <c r="R19" s="476"/>
      <c r="S19" s="476"/>
      <c r="T19" s="476"/>
      <c r="U19" s="476"/>
      <c r="V19" s="476"/>
      <c r="W19" s="476"/>
      <c r="X19" s="477"/>
      <c r="Y19" s="477"/>
      <c r="Z19" s="477"/>
      <c r="AA19" s="478"/>
      <c r="AB19" s="478"/>
      <c r="AC19" s="477"/>
      <c r="AD19" s="477"/>
      <c r="AE19" s="477"/>
      <c r="AF19" s="478"/>
      <c r="AG19" s="477"/>
      <c r="AH19" s="477"/>
      <c r="AI19" s="477"/>
      <c r="AJ19" s="478"/>
      <c r="AK19" s="478"/>
      <c r="AL19" s="478"/>
      <c r="AM19" s="477"/>
      <c r="AN19" s="486"/>
      <c r="AO19" s="489"/>
      <c r="AP19" s="484"/>
      <c r="AQ19" s="477"/>
      <c r="AR19" s="477"/>
      <c r="AS19" s="477"/>
      <c r="AT19" s="477"/>
      <c r="AU19" s="477"/>
      <c r="AV19" s="477"/>
      <c r="AW19" s="477"/>
      <c r="AX19" s="477"/>
      <c r="AY19" s="478"/>
      <c r="AZ19" s="477"/>
      <c r="BA19" s="477"/>
      <c r="BB19" s="477"/>
      <c r="BC19" s="477"/>
      <c r="BD19" s="477"/>
      <c r="BE19" s="477"/>
      <c r="BF19" s="477"/>
      <c r="BG19" s="477"/>
      <c r="BH19" s="478"/>
      <c r="BI19" s="477"/>
      <c r="BJ19" s="477"/>
      <c r="BK19" s="477"/>
      <c r="BL19" s="478"/>
      <c r="BM19" s="478"/>
      <c r="BN19" s="478"/>
      <c r="BO19" s="477"/>
      <c r="BP19" s="477"/>
    </row>
    <row r="20" spans="1:68" ht="14.25" hidden="1" customHeight="1">
      <c r="A20" s="442"/>
      <c r="B20" s="473"/>
      <c r="C20" s="476"/>
      <c r="D20" s="476"/>
      <c r="E20" s="476"/>
      <c r="F20" s="476"/>
      <c r="G20" s="476"/>
      <c r="H20" s="476"/>
      <c r="I20" s="479"/>
      <c r="J20" s="479"/>
      <c r="K20" s="479"/>
      <c r="L20" s="476"/>
      <c r="M20" s="476"/>
      <c r="N20" s="476"/>
      <c r="O20" s="476"/>
      <c r="P20" s="476"/>
      <c r="Q20" s="476"/>
      <c r="R20" s="476"/>
      <c r="S20" s="476"/>
      <c r="T20" s="476"/>
      <c r="U20" s="476"/>
      <c r="V20" s="476"/>
      <c r="W20" s="476"/>
      <c r="X20" s="477"/>
      <c r="Y20" s="477"/>
      <c r="Z20" s="477"/>
      <c r="AA20" s="478"/>
      <c r="AB20" s="478"/>
      <c r="AC20" s="477"/>
      <c r="AD20" s="477"/>
      <c r="AE20" s="477"/>
      <c r="AF20" s="478"/>
      <c r="AG20" s="477"/>
      <c r="AH20" s="477"/>
      <c r="AI20" s="477"/>
      <c r="AJ20" s="478"/>
      <c r="AK20" s="478"/>
      <c r="AL20" s="478"/>
      <c r="AM20" s="477"/>
      <c r="AN20" s="486"/>
      <c r="AO20" s="489"/>
      <c r="AP20" s="484"/>
      <c r="AQ20" s="477"/>
      <c r="AR20" s="477"/>
      <c r="AS20" s="477"/>
      <c r="AT20" s="477"/>
      <c r="AU20" s="477"/>
      <c r="AV20" s="477"/>
      <c r="AW20" s="477"/>
      <c r="AX20" s="477"/>
      <c r="AY20" s="478"/>
      <c r="AZ20" s="477"/>
      <c r="BA20" s="477"/>
      <c r="BB20" s="477"/>
      <c r="BC20" s="477"/>
      <c r="BD20" s="477"/>
      <c r="BE20" s="477"/>
      <c r="BF20" s="477"/>
      <c r="BG20" s="477"/>
      <c r="BH20" s="478"/>
      <c r="BI20" s="477"/>
      <c r="BJ20" s="477"/>
      <c r="BK20" s="477"/>
      <c r="BL20" s="478"/>
      <c r="BM20" s="478"/>
      <c r="BN20" s="478"/>
      <c r="BO20" s="477"/>
      <c r="BP20" s="477"/>
    </row>
    <row r="21" spans="1:68" ht="14.25" hidden="1" customHeight="1">
      <c r="A21" s="442"/>
      <c r="B21" s="473"/>
      <c r="C21" s="476"/>
      <c r="D21" s="476"/>
      <c r="E21" s="476"/>
      <c r="F21" s="476"/>
      <c r="G21" s="476"/>
      <c r="H21" s="476"/>
      <c r="I21" s="479"/>
      <c r="J21" s="479"/>
      <c r="K21" s="479"/>
      <c r="L21" s="476"/>
      <c r="M21" s="476"/>
      <c r="N21" s="476"/>
      <c r="O21" s="476"/>
      <c r="P21" s="476"/>
      <c r="Q21" s="476"/>
      <c r="R21" s="476"/>
      <c r="S21" s="476"/>
      <c r="T21" s="476"/>
      <c r="U21" s="476"/>
      <c r="V21" s="476"/>
      <c r="W21" s="476"/>
      <c r="X21" s="477"/>
      <c r="Y21" s="477"/>
      <c r="Z21" s="477"/>
      <c r="AA21" s="478"/>
      <c r="AB21" s="478"/>
      <c r="AC21" s="477"/>
      <c r="AD21" s="477"/>
      <c r="AE21" s="477"/>
      <c r="AF21" s="478"/>
      <c r="AG21" s="477"/>
      <c r="AH21" s="477"/>
      <c r="AI21" s="477"/>
      <c r="AJ21" s="478"/>
      <c r="AK21" s="478"/>
      <c r="AL21" s="478"/>
      <c r="AM21" s="477"/>
      <c r="AN21" s="486"/>
      <c r="AO21" s="489"/>
      <c r="AP21" s="484"/>
      <c r="AQ21" s="477"/>
      <c r="AR21" s="477"/>
      <c r="AS21" s="477"/>
      <c r="AT21" s="477"/>
      <c r="AU21" s="477"/>
      <c r="AV21" s="477"/>
      <c r="AW21" s="477"/>
      <c r="AX21" s="477"/>
      <c r="AY21" s="478"/>
      <c r="AZ21" s="477"/>
      <c r="BA21" s="477"/>
      <c r="BB21" s="477"/>
      <c r="BC21" s="477"/>
      <c r="BD21" s="477"/>
      <c r="BE21" s="477"/>
      <c r="BF21" s="477"/>
      <c r="BG21" s="477"/>
      <c r="BH21" s="478"/>
      <c r="BI21" s="477"/>
      <c r="BJ21" s="477"/>
      <c r="BK21" s="477"/>
      <c r="BL21" s="478"/>
      <c r="BM21" s="478"/>
      <c r="BN21" s="478"/>
      <c r="BO21" s="477"/>
      <c r="BP21" s="477"/>
    </row>
    <row r="22" spans="1:68" ht="14.25" hidden="1" customHeight="1">
      <c r="A22" s="442"/>
      <c r="B22" s="473"/>
      <c r="C22" s="476"/>
      <c r="D22" s="476"/>
      <c r="E22" s="476"/>
      <c r="F22" s="476"/>
      <c r="G22" s="476"/>
      <c r="H22" s="476"/>
      <c r="I22" s="479"/>
      <c r="J22" s="479"/>
      <c r="K22" s="479"/>
      <c r="L22" s="476"/>
      <c r="M22" s="476"/>
      <c r="N22" s="476"/>
      <c r="O22" s="476"/>
      <c r="P22" s="476"/>
      <c r="Q22" s="476"/>
      <c r="R22" s="476"/>
      <c r="S22" s="476"/>
      <c r="T22" s="476"/>
      <c r="U22" s="476"/>
      <c r="V22" s="476"/>
      <c r="W22" s="476"/>
      <c r="X22" s="477"/>
      <c r="Y22" s="477"/>
      <c r="Z22" s="477"/>
      <c r="AA22" s="478"/>
      <c r="AB22" s="478"/>
      <c r="AC22" s="477"/>
      <c r="AD22" s="477"/>
      <c r="AE22" s="477"/>
      <c r="AF22" s="478"/>
      <c r="AG22" s="477"/>
      <c r="AH22" s="477"/>
      <c r="AI22" s="477"/>
      <c r="AJ22" s="478"/>
      <c r="AK22" s="478"/>
      <c r="AL22" s="478"/>
      <c r="AM22" s="477"/>
      <c r="AN22" s="486"/>
      <c r="AO22" s="489"/>
      <c r="AP22" s="484"/>
      <c r="AQ22" s="477"/>
      <c r="AR22" s="477"/>
      <c r="AS22" s="477"/>
      <c r="AT22" s="477"/>
      <c r="AU22" s="477"/>
      <c r="AV22" s="477"/>
      <c r="AW22" s="477"/>
      <c r="AX22" s="477"/>
      <c r="AY22" s="478"/>
      <c r="AZ22" s="477"/>
      <c r="BA22" s="477"/>
      <c r="BB22" s="477"/>
      <c r="BC22" s="477"/>
      <c r="BD22" s="477"/>
      <c r="BE22" s="477"/>
      <c r="BF22" s="477"/>
      <c r="BG22" s="477"/>
      <c r="BH22" s="478"/>
      <c r="BI22" s="477"/>
      <c r="BJ22" s="477"/>
      <c r="BK22" s="477"/>
      <c r="BL22" s="478"/>
      <c r="BM22" s="478"/>
      <c r="BN22" s="478"/>
      <c r="BO22" s="477"/>
      <c r="BP22" s="477"/>
    </row>
    <row r="23" spans="1:68" ht="14.25" hidden="1" customHeight="1">
      <c r="A23" s="442"/>
      <c r="B23" s="473"/>
      <c r="C23" s="476"/>
      <c r="D23" s="476"/>
      <c r="E23" s="476"/>
      <c r="F23" s="476"/>
      <c r="G23" s="476"/>
      <c r="H23" s="476"/>
      <c r="I23" s="479"/>
      <c r="J23" s="479"/>
      <c r="K23" s="479"/>
      <c r="L23" s="476"/>
      <c r="M23" s="476"/>
      <c r="N23" s="476"/>
      <c r="O23" s="476"/>
      <c r="P23" s="476"/>
      <c r="Q23" s="476"/>
      <c r="R23" s="476"/>
      <c r="S23" s="476"/>
      <c r="T23" s="476"/>
      <c r="U23" s="476"/>
      <c r="V23" s="476"/>
      <c r="W23" s="476"/>
      <c r="X23" s="477"/>
      <c r="Y23" s="477"/>
      <c r="Z23" s="477"/>
      <c r="AA23" s="478"/>
      <c r="AB23" s="478"/>
      <c r="AC23" s="477"/>
      <c r="AD23" s="477"/>
      <c r="AE23" s="477"/>
      <c r="AF23" s="478"/>
      <c r="AG23" s="477"/>
      <c r="AH23" s="477"/>
      <c r="AI23" s="477"/>
      <c r="AJ23" s="478"/>
      <c r="AK23" s="478"/>
      <c r="AL23" s="478"/>
      <c r="AM23" s="477"/>
      <c r="AN23" s="486"/>
      <c r="AO23" s="489"/>
      <c r="AP23" s="484"/>
      <c r="AQ23" s="477"/>
      <c r="AR23" s="477"/>
      <c r="AS23" s="477"/>
      <c r="AT23" s="477"/>
      <c r="AU23" s="477"/>
      <c r="AV23" s="477"/>
      <c r="AW23" s="477"/>
      <c r="AX23" s="477"/>
      <c r="AY23" s="478"/>
      <c r="AZ23" s="477"/>
      <c r="BA23" s="477"/>
      <c r="BB23" s="477"/>
      <c r="BC23" s="477"/>
      <c r="BD23" s="477"/>
      <c r="BE23" s="477"/>
      <c r="BF23" s="477"/>
      <c r="BG23" s="477"/>
      <c r="BH23" s="478"/>
      <c r="BI23" s="477"/>
      <c r="BJ23" s="477"/>
      <c r="BK23" s="477"/>
      <c r="BL23" s="478"/>
      <c r="BM23" s="478"/>
      <c r="BN23" s="478"/>
      <c r="BO23" s="477"/>
      <c r="BP23" s="477"/>
    </row>
    <row r="24" spans="1:68" ht="14.25" hidden="1" customHeight="1">
      <c r="A24" s="442"/>
      <c r="B24" s="473"/>
      <c r="C24" s="476"/>
      <c r="D24" s="476"/>
      <c r="E24" s="476"/>
      <c r="F24" s="476"/>
      <c r="G24" s="476"/>
      <c r="H24" s="476"/>
      <c r="I24" s="479"/>
      <c r="J24" s="479"/>
      <c r="K24" s="479"/>
      <c r="L24" s="476"/>
      <c r="M24" s="476"/>
      <c r="N24" s="476"/>
      <c r="O24" s="476"/>
      <c r="P24" s="476"/>
      <c r="Q24" s="476"/>
      <c r="R24" s="476"/>
      <c r="S24" s="476"/>
      <c r="T24" s="476"/>
      <c r="U24" s="476"/>
      <c r="V24" s="476"/>
      <c r="W24" s="476"/>
      <c r="X24" s="477"/>
      <c r="Y24" s="477"/>
      <c r="Z24" s="477"/>
      <c r="AA24" s="478"/>
      <c r="AB24" s="478"/>
      <c r="AC24" s="477"/>
      <c r="AD24" s="477"/>
      <c r="AE24" s="477"/>
      <c r="AF24" s="478"/>
      <c r="AG24" s="477"/>
      <c r="AH24" s="477"/>
      <c r="AI24" s="477"/>
      <c r="AJ24" s="478"/>
      <c r="AK24" s="478"/>
      <c r="AL24" s="478"/>
      <c r="AM24" s="477"/>
      <c r="AN24" s="486"/>
      <c r="AO24" s="489"/>
      <c r="AP24" s="484"/>
      <c r="AQ24" s="477"/>
      <c r="AR24" s="477"/>
      <c r="AS24" s="477"/>
      <c r="AT24" s="477"/>
      <c r="AU24" s="477"/>
      <c r="AV24" s="477"/>
      <c r="AW24" s="477"/>
      <c r="AX24" s="477"/>
      <c r="AY24" s="478"/>
      <c r="AZ24" s="477"/>
      <c r="BA24" s="477"/>
      <c r="BB24" s="477"/>
      <c r="BC24" s="477"/>
      <c r="BD24" s="477"/>
      <c r="BE24" s="477"/>
      <c r="BF24" s="477"/>
      <c r="BG24" s="477"/>
      <c r="BH24" s="478"/>
      <c r="BI24" s="477"/>
      <c r="BJ24" s="477"/>
      <c r="BK24" s="477"/>
      <c r="BL24" s="478"/>
      <c r="BM24" s="478"/>
      <c r="BN24" s="478"/>
      <c r="BO24" s="477"/>
      <c r="BP24" s="477"/>
    </row>
    <row r="25" spans="1:68" ht="14.25" hidden="1" customHeight="1">
      <c r="A25" s="442"/>
      <c r="B25" s="473"/>
      <c r="C25" s="476"/>
      <c r="D25" s="476"/>
      <c r="E25" s="476"/>
      <c r="F25" s="476"/>
      <c r="G25" s="476"/>
      <c r="H25" s="476"/>
      <c r="I25" s="479"/>
      <c r="J25" s="479"/>
      <c r="K25" s="479"/>
      <c r="L25" s="476"/>
      <c r="M25" s="476"/>
      <c r="N25" s="476"/>
      <c r="O25" s="476"/>
      <c r="P25" s="476"/>
      <c r="Q25" s="476"/>
      <c r="R25" s="476"/>
      <c r="S25" s="476"/>
      <c r="T25" s="476"/>
      <c r="U25" s="476"/>
      <c r="V25" s="476"/>
      <c r="W25" s="476"/>
      <c r="X25" s="477"/>
      <c r="Y25" s="477"/>
      <c r="Z25" s="477"/>
      <c r="AA25" s="478"/>
      <c r="AB25" s="478"/>
      <c r="AC25" s="477"/>
      <c r="AD25" s="477"/>
      <c r="AE25" s="477"/>
      <c r="AF25" s="478"/>
      <c r="AG25" s="477"/>
      <c r="AH25" s="477"/>
      <c r="AI25" s="477"/>
      <c r="AJ25" s="478"/>
      <c r="AK25" s="478"/>
      <c r="AL25" s="478"/>
      <c r="AM25" s="477"/>
      <c r="AN25" s="486"/>
      <c r="AO25" s="489"/>
      <c r="AP25" s="484"/>
      <c r="AQ25" s="477"/>
      <c r="AR25" s="477"/>
      <c r="AS25" s="477"/>
      <c r="AT25" s="477"/>
      <c r="AU25" s="477"/>
      <c r="AV25" s="477"/>
      <c r="AW25" s="477"/>
      <c r="AX25" s="477"/>
      <c r="AY25" s="478"/>
      <c r="AZ25" s="477"/>
      <c r="BA25" s="477"/>
      <c r="BB25" s="477"/>
      <c r="BC25" s="477"/>
      <c r="BD25" s="477"/>
      <c r="BE25" s="477"/>
      <c r="BF25" s="477"/>
      <c r="BG25" s="477"/>
      <c r="BH25" s="478"/>
      <c r="BI25" s="477"/>
      <c r="BJ25" s="477"/>
      <c r="BK25" s="477"/>
      <c r="BL25" s="478"/>
      <c r="BM25" s="478"/>
      <c r="BN25" s="478"/>
      <c r="BO25" s="477"/>
      <c r="BP25" s="477"/>
    </row>
    <row r="26" spans="1:68" ht="14.25" hidden="1" customHeight="1">
      <c r="A26" s="442"/>
      <c r="B26" s="473"/>
      <c r="C26" s="476"/>
      <c r="D26" s="476"/>
      <c r="E26" s="476"/>
      <c r="F26" s="476"/>
      <c r="G26" s="476"/>
      <c r="H26" s="476"/>
      <c r="I26" s="479"/>
      <c r="J26" s="479"/>
      <c r="K26" s="479"/>
      <c r="L26" s="476"/>
      <c r="M26" s="476"/>
      <c r="N26" s="476"/>
      <c r="O26" s="476"/>
      <c r="P26" s="476"/>
      <c r="Q26" s="476"/>
      <c r="R26" s="476"/>
      <c r="S26" s="476"/>
      <c r="T26" s="476"/>
      <c r="U26" s="476"/>
      <c r="V26" s="476"/>
      <c r="W26" s="476"/>
      <c r="X26" s="477"/>
      <c r="Y26" s="477"/>
      <c r="Z26" s="477"/>
      <c r="AA26" s="478"/>
      <c r="AB26" s="478"/>
      <c r="AC26" s="477"/>
      <c r="AD26" s="477"/>
      <c r="AE26" s="477"/>
      <c r="AF26" s="478"/>
      <c r="AG26" s="477"/>
      <c r="AH26" s="477"/>
      <c r="AI26" s="477"/>
      <c r="AJ26" s="478"/>
      <c r="AK26" s="478"/>
      <c r="AL26" s="478"/>
      <c r="AM26" s="477"/>
      <c r="AN26" s="486"/>
      <c r="AO26" s="489"/>
      <c r="AP26" s="484"/>
      <c r="AQ26" s="477"/>
      <c r="AR26" s="477"/>
      <c r="AS26" s="477"/>
      <c r="AT26" s="477"/>
      <c r="AU26" s="477"/>
      <c r="AV26" s="477"/>
      <c r="AW26" s="477"/>
      <c r="AX26" s="477"/>
      <c r="AY26" s="478"/>
      <c r="AZ26" s="477"/>
      <c r="BA26" s="477"/>
      <c r="BB26" s="477"/>
      <c r="BC26" s="477"/>
      <c r="BD26" s="477"/>
      <c r="BE26" s="477"/>
      <c r="BF26" s="477"/>
      <c r="BG26" s="477"/>
      <c r="BH26" s="478"/>
      <c r="BI26" s="477"/>
      <c r="BJ26" s="477"/>
      <c r="BK26" s="477"/>
      <c r="BL26" s="478"/>
      <c r="BM26" s="478"/>
      <c r="BN26" s="478"/>
      <c r="BO26" s="477"/>
      <c r="BP26" s="477"/>
    </row>
    <row r="27" spans="1:68" ht="14.25" hidden="1" customHeight="1">
      <c r="A27" s="354"/>
      <c r="B27" s="478"/>
      <c r="C27" s="477"/>
      <c r="D27" s="477"/>
      <c r="E27" s="477"/>
      <c r="F27" s="477"/>
      <c r="G27" s="477"/>
      <c r="H27" s="477"/>
      <c r="I27" s="480"/>
      <c r="J27" s="480"/>
      <c r="K27" s="480"/>
      <c r="L27" s="477"/>
      <c r="M27" s="477"/>
      <c r="N27" s="477"/>
      <c r="O27" s="477"/>
      <c r="P27" s="477"/>
      <c r="Q27" s="477"/>
      <c r="R27" s="477"/>
      <c r="S27" s="477"/>
      <c r="T27" s="477"/>
      <c r="U27" s="477"/>
      <c r="V27" s="477"/>
      <c r="W27" s="477"/>
      <c r="X27" s="477"/>
      <c r="Y27" s="477"/>
      <c r="Z27" s="477"/>
      <c r="AA27" s="478"/>
      <c r="AB27" s="478"/>
      <c r="AC27" s="477"/>
      <c r="AD27" s="477"/>
      <c r="AE27" s="477"/>
      <c r="AF27" s="478"/>
      <c r="AG27" s="477"/>
      <c r="AH27" s="477"/>
      <c r="AI27" s="477"/>
      <c r="AJ27" s="478"/>
      <c r="AK27" s="478"/>
      <c r="AL27" s="478"/>
      <c r="AM27" s="477"/>
      <c r="AN27" s="486"/>
      <c r="AO27" s="489"/>
      <c r="AP27" s="484"/>
      <c r="AQ27" s="477"/>
      <c r="AR27" s="477"/>
      <c r="AS27" s="477"/>
      <c r="AT27" s="477"/>
      <c r="AU27" s="477"/>
      <c r="AV27" s="477"/>
      <c r="AW27" s="477"/>
      <c r="AX27" s="477"/>
      <c r="AY27" s="478"/>
      <c r="AZ27" s="477"/>
      <c r="BA27" s="477"/>
      <c r="BB27" s="477"/>
      <c r="BC27" s="477"/>
      <c r="BD27" s="477"/>
      <c r="BE27" s="477"/>
      <c r="BF27" s="477"/>
      <c r="BG27" s="477"/>
      <c r="BH27" s="478"/>
      <c r="BI27" s="477"/>
      <c r="BJ27" s="477"/>
      <c r="BK27" s="477"/>
      <c r="BL27" s="478"/>
      <c r="BM27" s="478"/>
      <c r="BN27" s="478"/>
      <c r="BO27" s="477"/>
      <c r="BP27" s="477"/>
    </row>
    <row r="28" spans="1:68" ht="14.25" hidden="1" customHeight="1">
      <c r="A28" s="442"/>
      <c r="B28" s="473"/>
      <c r="C28" s="476"/>
      <c r="D28" s="476"/>
      <c r="E28" s="476"/>
      <c r="F28" s="476"/>
      <c r="G28" s="476"/>
      <c r="H28" s="476"/>
      <c r="I28" s="479"/>
      <c r="J28" s="479"/>
      <c r="K28" s="479"/>
      <c r="L28" s="476"/>
      <c r="M28" s="476"/>
      <c r="N28" s="476"/>
      <c r="O28" s="476"/>
      <c r="P28" s="476"/>
      <c r="Q28" s="476"/>
      <c r="R28" s="476"/>
      <c r="S28" s="476"/>
      <c r="T28" s="476"/>
      <c r="U28" s="476"/>
      <c r="V28" s="476"/>
      <c r="W28" s="476"/>
      <c r="X28" s="477"/>
      <c r="Y28" s="477"/>
      <c r="Z28" s="477"/>
      <c r="AA28" s="478"/>
      <c r="AB28" s="478"/>
      <c r="AC28" s="477"/>
      <c r="AD28" s="477"/>
      <c r="AE28" s="477"/>
      <c r="AF28" s="478"/>
      <c r="AG28" s="477"/>
      <c r="AH28" s="477"/>
      <c r="AI28" s="477"/>
      <c r="AJ28" s="478"/>
      <c r="AK28" s="478"/>
      <c r="AL28" s="478"/>
      <c r="AM28" s="477"/>
      <c r="AN28" s="486"/>
      <c r="AO28" s="489"/>
      <c r="AP28" s="484"/>
      <c r="AQ28" s="477"/>
      <c r="AR28" s="477"/>
      <c r="AS28" s="477"/>
      <c r="AT28" s="477"/>
      <c r="AU28" s="477"/>
      <c r="AV28" s="477"/>
      <c r="AW28" s="477"/>
      <c r="AX28" s="477"/>
      <c r="AY28" s="478"/>
      <c r="AZ28" s="477"/>
      <c r="BA28" s="477"/>
      <c r="BB28" s="477"/>
      <c r="BC28" s="477"/>
      <c r="BD28" s="477"/>
      <c r="BE28" s="477"/>
      <c r="BF28" s="477"/>
      <c r="BG28" s="477"/>
      <c r="BH28" s="478"/>
      <c r="BI28" s="477"/>
      <c r="BJ28" s="477"/>
      <c r="BK28" s="477"/>
      <c r="BL28" s="478"/>
      <c r="BM28" s="478"/>
      <c r="BN28" s="478"/>
      <c r="BO28" s="477"/>
      <c r="BP28" s="477"/>
    </row>
    <row r="29" spans="1:68" ht="14.25" hidden="1" customHeight="1">
      <c r="A29" s="442"/>
      <c r="B29" s="473"/>
      <c r="C29" s="476"/>
      <c r="D29" s="476"/>
      <c r="E29" s="476"/>
      <c r="F29" s="476"/>
      <c r="G29" s="476"/>
      <c r="H29" s="476"/>
      <c r="I29" s="479"/>
      <c r="J29" s="479"/>
      <c r="K29" s="479"/>
      <c r="L29" s="476"/>
      <c r="M29" s="476"/>
      <c r="N29" s="476"/>
      <c r="O29" s="476"/>
      <c r="P29" s="476"/>
      <c r="Q29" s="476"/>
      <c r="R29" s="476"/>
      <c r="S29" s="476"/>
      <c r="T29" s="476"/>
      <c r="U29" s="476"/>
      <c r="V29" s="476"/>
      <c r="W29" s="476"/>
      <c r="X29" s="477"/>
      <c r="Y29" s="477"/>
      <c r="Z29" s="477"/>
      <c r="AA29" s="478"/>
      <c r="AB29" s="478"/>
      <c r="AC29" s="477"/>
      <c r="AD29" s="477"/>
      <c r="AE29" s="477"/>
      <c r="AF29" s="478"/>
      <c r="AG29" s="477"/>
      <c r="AH29" s="477"/>
      <c r="AI29" s="477"/>
      <c r="AJ29" s="478"/>
      <c r="AK29" s="478"/>
      <c r="AL29" s="478"/>
      <c r="AM29" s="477"/>
      <c r="AN29" s="486"/>
      <c r="AO29" s="489"/>
      <c r="AP29" s="484"/>
      <c r="AQ29" s="477"/>
      <c r="AR29" s="477"/>
      <c r="AS29" s="477"/>
      <c r="AT29" s="477"/>
      <c r="AU29" s="477"/>
      <c r="AV29" s="477"/>
      <c r="AW29" s="477"/>
      <c r="AX29" s="477"/>
      <c r="AY29" s="478"/>
      <c r="AZ29" s="477"/>
      <c r="BA29" s="477"/>
      <c r="BB29" s="477"/>
      <c r="BC29" s="477"/>
      <c r="BD29" s="477"/>
      <c r="BE29" s="477"/>
      <c r="BF29" s="477"/>
      <c r="BG29" s="477"/>
      <c r="BH29" s="478"/>
      <c r="BI29" s="477"/>
      <c r="BJ29" s="477"/>
      <c r="BK29" s="477"/>
      <c r="BL29" s="478"/>
      <c r="BM29" s="478"/>
      <c r="BN29" s="478"/>
      <c r="BO29" s="477"/>
      <c r="BP29" s="477"/>
    </row>
    <row r="30" spans="1:68" ht="14.25" hidden="1" customHeight="1">
      <c r="A30" s="442"/>
      <c r="B30" s="473"/>
      <c r="C30" s="476"/>
      <c r="D30" s="476"/>
      <c r="E30" s="476"/>
      <c r="F30" s="476"/>
      <c r="G30" s="476"/>
      <c r="H30" s="476"/>
      <c r="I30" s="479"/>
      <c r="J30" s="479"/>
      <c r="K30" s="479"/>
      <c r="L30" s="476"/>
      <c r="M30" s="476"/>
      <c r="N30" s="476"/>
      <c r="O30" s="476"/>
      <c r="P30" s="476"/>
      <c r="Q30" s="476"/>
      <c r="R30" s="476"/>
      <c r="S30" s="476"/>
      <c r="T30" s="476"/>
      <c r="U30" s="476"/>
      <c r="V30" s="476"/>
      <c r="W30" s="476"/>
      <c r="X30" s="477"/>
      <c r="Y30" s="477"/>
      <c r="Z30" s="477"/>
      <c r="AA30" s="478"/>
      <c r="AB30" s="478"/>
      <c r="AC30" s="477"/>
      <c r="AD30" s="477"/>
      <c r="AE30" s="477"/>
      <c r="AF30" s="478"/>
      <c r="AG30" s="477"/>
      <c r="AH30" s="477"/>
      <c r="AI30" s="477"/>
      <c r="AJ30" s="478"/>
      <c r="AK30" s="478"/>
      <c r="AL30" s="478"/>
      <c r="AM30" s="477"/>
      <c r="AN30" s="486"/>
      <c r="AO30" s="489"/>
      <c r="AP30" s="484"/>
      <c r="AQ30" s="477"/>
      <c r="AR30" s="477"/>
      <c r="AS30" s="477"/>
      <c r="AT30" s="477"/>
      <c r="AU30" s="477"/>
      <c r="AV30" s="477"/>
      <c r="AW30" s="477"/>
      <c r="AX30" s="477"/>
      <c r="AY30" s="478"/>
      <c r="AZ30" s="477"/>
      <c r="BA30" s="477"/>
      <c r="BB30" s="477"/>
      <c r="BC30" s="477"/>
      <c r="BD30" s="477"/>
      <c r="BE30" s="477"/>
      <c r="BF30" s="477"/>
      <c r="BG30" s="477"/>
      <c r="BH30" s="478"/>
      <c r="BI30" s="477"/>
      <c r="BJ30" s="477"/>
      <c r="BK30" s="477"/>
      <c r="BL30" s="478"/>
      <c r="BM30" s="478"/>
      <c r="BN30" s="478"/>
      <c r="BO30" s="477"/>
      <c r="BP30" s="477"/>
    </row>
    <row r="31" spans="1:68" ht="14.25" hidden="1" customHeight="1">
      <c r="A31" s="442"/>
      <c r="B31" s="473"/>
      <c r="C31" s="476"/>
      <c r="D31" s="476"/>
      <c r="E31" s="476"/>
      <c r="F31" s="476"/>
      <c r="G31" s="476"/>
      <c r="H31" s="476"/>
      <c r="I31" s="479"/>
      <c r="J31" s="479"/>
      <c r="K31" s="479"/>
      <c r="L31" s="476"/>
      <c r="M31" s="476"/>
      <c r="N31" s="476"/>
      <c r="O31" s="476"/>
      <c r="P31" s="476"/>
      <c r="Q31" s="476"/>
      <c r="R31" s="476"/>
      <c r="S31" s="476"/>
      <c r="T31" s="476"/>
      <c r="U31" s="476"/>
      <c r="V31" s="476"/>
      <c r="W31" s="476"/>
      <c r="X31" s="477"/>
      <c r="Y31" s="477"/>
      <c r="Z31" s="477"/>
      <c r="AA31" s="478"/>
      <c r="AB31" s="478"/>
      <c r="AC31" s="477"/>
      <c r="AD31" s="477"/>
      <c r="AE31" s="477"/>
      <c r="AF31" s="478"/>
      <c r="AG31" s="477"/>
      <c r="AH31" s="477"/>
      <c r="AI31" s="477"/>
      <c r="AJ31" s="478"/>
      <c r="AK31" s="478"/>
      <c r="AL31" s="478"/>
      <c r="AM31" s="477"/>
      <c r="AN31" s="486"/>
      <c r="AO31" s="489"/>
      <c r="AP31" s="484"/>
      <c r="AQ31" s="477"/>
      <c r="AR31" s="477"/>
      <c r="AS31" s="477"/>
      <c r="AT31" s="477"/>
      <c r="AU31" s="477"/>
      <c r="AV31" s="477"/>
      <c r="AW31" s="477"/>
      <c r="AX31" s="477"/>
      <c r="AY31" s="478"/>
      <c r="AZ31" s="477"/>
      <c r="BA31" s="477"/>
      <c r="BB31" s="477"/>
      <c r="BC31" s="477"/>
      <c r="BD31" s="477"/>
      <c r="BE31" s="477"/>
      <c r="BF31" s="477"/>
      <c r="BG31" s="477"/>
      <c r="BH31" s="478"/>
      <c r="BI31" s="477"/>
      <c r="BJ31" s="477"/>
      <c r="BK31" s="477"/>
      <c r="BL31" s="478"/>
      <c r="BM31" s="478"/>
      <c r="BN31" s="478"/>
      <c r="BO31" s="477"/>
      <c r="BP31" s="477"/>
    </row>
    <row r="32" spans="1:68" ht="14.25" hidden="1" customHeight="1">
      <c r="A32" s="354"/>
      <c r="B32" s="478"/>
      <c r="C32" s="477"/>
      <c r="D32" s="477"/>
      <c r="E32" s="477"/>
      <c r="F32" s="477"/>
      <c r="G32" s="477"/>
      <c r="H32" s="477"/>
      <c r="I32" s="480"/>
      <c r="J32" s="480"/>
      <c r="K32" s="480"/>
      <c r="L32" s="477"/>
      <c r="M32" s="477"/>
      <c r="N32" s="477"/>
      <c r="O32" s="477"/>
      <c r="P32" s="477"/>
      <c r="Q32" s="477"/>
      <c r="R32" s="477"/>
      <c r="S32" s="477"/>
      <c r="T32" s="477"/>
      <c r="U32" s="477"/>
      <c r="V32" s="477"/>
      <c r="W32" s="477"/>
      <c r="X32" s="477"/>
      <c r="Y32" s="477"/>
      <c r="Z32" s="477"/>
      <c r="AA32" s="478"/>
      <c r="AB32" s="478"/>
      <c r="AC32" s="477"/>
      <c r="AD32" s="477"/>
      <c r="AE32" s="477"/>
      <c r="AF32" s="478"/>
      <c r="AG32" s="477"/>
      <c r="AH32" s="477"/>
      <c r="AI32" s="477"/>
      <c r="AJ32" s="478"/>
      <c r="AK32" s="478"/>
      <c r="AL32" s="478"/>
      <c r="AM32" s="477"/>
      <c r="AN32" s="486"/>
      <c r="AO32" s="489"/>
      <c r="AP32" s="484"/>
      <c r="AQ32" s="477"/>
      <c r="AR32" s="477"/>
      <c r="AS32" s="477"/>
      <c r="AT32" s="477"/>
      <c r="AU32" s="477"/>
      <c r="AV32" s="477"/>
      <c r="AW32" s="477"/>
      <c r="AX32" s="477"/>
      <c r="AY32" s="478"/>
      <c r="AZ32" s="477"/>
      <c r="BA32" s="477"/>
      <c r="BB32" s="477"/>
      <c r="BC32" s="477"/>
      <c r="BD32" s="477"/>
      <c r="BE32" s="477"/>
      <c r="BF32" s="477"/>
      <c r="BG32" s="477"/>
      <c r="BH32" s="478"/>
      <c r="BI32" s="477"/>
      <c r="BJ32" s="477"/>
      <c r="BK32" s="477"/>
      <c r="BL32" s="478"/>
      <c r="BM32" s="478"/>
      <c r="BN32" s="478"/>
      <c r="BO32" s="477"/>
      <c r="BP32" s="477"/>
    </row>
    <row r="33" spans="1:70" ht="14.25" hidden="1" customHeight="1">
      <c r="A33" s="354"/>
      <c r="B33" s="478"/>
      <c r="C33" s="477"/>
      <c r="D33" s="477"/>
      <c r="E33" s="477"/>
      <c r="F33" s="477"/>
      <c r="G33" s="477"/>
      <c r="H33" s="477"/>
      <c r="I33" s="480"/>
      <c r="J33" s="480"/>
      <c r="K33" s="480"/>
      <c r="L33" s="477"/>
      <c r="M33" s="477"/>
      <c r="N33" s="477"/>
      <c r="O33" s="477"/>
      <c r="P33" s="477"/>
      <c r="Q33" s="477"/>
      <c r="R33" s="477"/>
      <c r="S33" s="477"/>
      <c r="T33" s="477"/>
      <c r="U33" s="477"/>
      <c r="V33" s="477"/>
      <c r="W33" s="477"/>
      <c r="X33" s="477"/>
      <c r="Y33" s="477"/>
      <c r="Z33" s="477"/>
      <c r="AA33" s="478"/>
      <c r="AB33" s="478"/>
      <c r="AC33" s="477"/>
      <c r="AD33" s="477"/>
      <c r="AE33" s="477"/>
      <c r="AF33" s="478"/>
      <c r="AG33" s="477"/>
      <c r="AH33" s="477"/>
      <c r="AI33" s="477"/>
      <c r="AJ33" s="478"/>
      <c r="AK33" s="478"/>
      <c r="AL33" s="478"/>
      <c r="AM33" s="477"/>
      <c r="AN33" s="486"/>
      <c r="AO33" s="489"/>
      <c r="AP33" s="484"/>
      <c r="AQ33" s="477"/>
      <c r="AR33" s="477"/>
      <c r="AS33" s="477"/>
      <c r="AT33" s="477"/>
      <c r="AU33" s="477"/>
      <c r="AV33" s="477"/>
      <c r="AW33" s="477"/>
      <c r="AX33" s="477"/>
      <c r="AY33" s="478"/>
      <c r="AZ33" s="477"/>
      <c r="BA33" s="477"/>
      <c r="BB33" s="477"/>
      <c r="BC33" s="477"/>
      <c r="BD33" s="477"/>
      <c r="BE33" s="477"/>
      <c r="BF33" s="477"/>
      <c r="BG33" s="477"/>
      <c r="BH33" s="478"/>
      <c r="BI33" s="477"/>
      <c r="BJ33" s="477"/>
      <c r="BK33" s="477"/>
      <c r="BL33" s="478"/>
      <c r="BM33" s="478"/>
      <c r="BN33" s="478"/>
      <c r="BO33" s="477"/>
      <c r="BP33" s="477"/>
      <c r="BQ33" s="469"/>
      <c r="BR33" s="356"/>
    </row>
    <row r="34" spans="1:70" ht="14.25" hidden="1" customHeight="1">
      <c r="B34" s="478"/>
      <c r="C34" s="477"/>
      <c r="D34" s="477"/>
      <c r="E34" s="477"/>
      <c r="F34" s="477"/>
      <c r="G34" s="477"/>
      <c r="H34" s="477"/>
      <c r="I34" s="480"/>
      <c r="J34" s="480"/>
      <c r="K34" s="480"/>
      <c r="L34" s="477"/>
      <c r="M34" s="477"/>
      <c r="N34" s="477"/>
      <c r="O34" s="477"/>
      <c r="P34" s="477"/>
      <c r="Q34" s="477"/>
      <c r="R34" s="477"/>
      <c r="S34" s="477"/>
      <c r="T34" s="477"/>
      <c r="U34" s="477"/>
      <c r="V34" s="477"/>
      <c r="W34" s="477"/>
      <c r="X34" s="477"/>
      <c r="Y34" s="477"/>
      <c r="Z34" s="477"/>
      <c r="AA34" s="478"/>
      <c r="AB34" s="478"/>
      <c r="AC34" s="477"/>
      <c r="AD34" s="477"/>
      <c r="AE34" s="477"/>
      <c r="AF34" s="478"/>
      <c r="AG34" s="477"/>
      <c r="AH34" s="477"/>
      <c r="AI34" s="477"/>
      <c r="AJ34" s="478"/>
      <c r="AK34" s="478"/>
      <c r="AL34" s="478"/>
      <c r="AM34" s="477"/>
      <c r="AN34" s="486"/>
      <c r="AO34" s="489"/>
      <c r="AP34" s="484"/>
      <c r="AQ34" s="477"/>
      <c r="AR34" s="477"/>
      <c r="AS34" s="477"/>
      <c r="AT34" s="477"/>
      <c r="AU34" s="477"/>
      <c r="AV34" s="477"/>
      <c r="AW34" s="477"/>
      <c r="AX34" s="477"/>
      <c r="AY34" s="478"/>
      <c r="AZ34" s="477"/>
      <c r="BA34" s="477"/>
      <c r="BB34" s="477"/>
      <c r="BC34" s="477"/>
      <c r="BD34" s="477"/>
      <c r="BE34" s="477"/>
      <c r="BF34" s="477"/>
      <c r="BG34" s="477"/>
      <c r="BH34" s="478"/>
      <c r="BI34" s="477"/>
      <c r="BJ34" s="477"/>
      <c r="BK34" s="477"/>
      <c r="BL34" s="478"/>
      <c r="BM34" s="478"/>
      <c r="BN34" s="478"/>
      <c r="BO34" s="477"/>
      <c r="BP34" s="477"/>
    </row>
    <row r="35" spans="1:70" ht="14.25" hidden="1" customHeight="1">
      <c r="B35" s="478"/>
      <c r="C35" s="477"/>
      <c r="D35" s="477"/>
      <c r="E35" s="477"/>
      <c r="F35" s="477"/>
      <c r="G35" s="477"/>
      <c r="H35" s="477"/>
      <c r="I35" s="480"/>
      <c r="J35" s="480"/>
      <c r="K35" s="480"/>
      <c r="L35" s="477"/>
      <c r="M35" s="477"/>
      <c r="N35" s="477"/>
      <c r="O35" s="477"/>
      <c r="P35" s="477"/>
      <c r="Q35" s="477"/>
      <c r="R35" s="477"/>
      <c r="S35" s="477"/>
      <c r="T35" s="477"/>
      <c r="U35" s="477"/>
      <c r="V35" s="477"/>
      <c r="W35" s="477"/>
      <c r="X35" s="477"/>
      <c r="Y35" s="477"/>
      <c r="Z35" s="477"/>
      <c r="AA35" s="478"/>
      <c r="AB35" s="478"/>
      <c r="AC35" s="477"/>
      <c r="AD35" s="477"/>
      <c r="AE35" s="477"/>
      <c r="AF35" s="478"/>
      <c r="AG35" s="477"/>
      <c r="AH35" s="477"/>
      <c r="AI35" s="477"/>
      <c r="AJ35" s="478"/>
      <c r="AK35" s="478"/>
      <c r="AL35" s="478"/>
      <c r="AM35" s="477"/>
      <c r="AN35" s="486"/>
      <c r="AO35" s="489"/>
      <c r="AP35" s="484"/>
      <c r="AQ35" s="477"/>
      <c r="AR35" s="477"/>
      <c r="AS35" s="477"/>
      <c r="AT35" s="477"/>
      <c r="AU35" s="477"/>
      <c r="AV35" s="477"/>
      <c r="AW35" s="477"/>
      <c r="AX35" s="477"/>
      <c r="AY35" s="478"/>
      <c r="AZ35" s="477"/>
      <c r="BA35" s="477"/>
      <c r="BB35" s="477"/>
      <c r="BC35" s="477"/>
      <c r="BD35" s="477"/>
      <c r="BE35" s="477"/>
      <c r="BF35" s="477"/>
      <c r="BG35" s="477"/>
      <c r="BH35" s="478"/>
      <c r="BI35" s="477"/>
      <c r="BJ35" s="477"/>
      <c r="BK35" s="477"/>
      <c r="BL35" s="478"/>
      <c r="BM35" s="478"/>
      <c r="BN35" s="478"/>
      <c r="BO35" s="477"/>
      <c r="BP35" s="477"/>
    </row>
    <row r="36" spans="1:70" ht="14.25" hidden="1" customHeight="1">
      <c r="B36" s="478"/>
      <c r="C36" s="477"/>
      <c r="D36" s="477"/>
      <c r="E36" s="477"/>
      <c r="F36" s="477"/>
      <c r="G36" s="477"/>
      <c r="H36" s="477"/>
      <c r="I36" s="480"/>
      <c r="J36" s="480"/>
      <c r="K36" s="480"/>
      <c r="L36" s="477"/>
      <c r="M36" s="477"/>
      <c r="N36" s="477"/>
      <c r="O36" s="477"/>
      <c r="P36" s="477"/>
      <c r="Q36" s="477"/>
      <c r="R36" s="477"/>
      <c r="S36" s="477"/>
      <c r="T36" s="477"/>
      <c r="U36" s="477"/>
      <c r="V36" s="477"/>
      <c r="W36" s="477"/>
      <c r="X36" s="477"/>
      <c r="Y36" s="477"/>
      <c r="Z36" s="477"/>
      <c r="AA36" s="478"/>
      <c r="AB36" s="478"/>
      <c r="AC36" s="477"/>
      <c r="AD36" s="477"/>
      <c r="AE36" s="477"/>
      <c r="AF36" s="478"/>
      <c r="AG36" s="477"/>
      <c r="AH36" s="477"/>
      <c r="AI36" s="477"/>
      <c r="AJ36" s="478"/>
      <c r="AK36" s="478"/>
      <c r="AL36" s="478"/>
      <c r="AM36" s="477"/>
      <c r="AN36" s="486"/>
      <c r="AO36" s="489"/>
      <c r="AP36" s="484"/>
      <c r="AQ36" s="477"/>
      <c r="AR36" s="477"/>
      <c r="AS36" s="477"/>
      <c r="AT36" s="477"/>
      <c r="AU36" s="477"/>
      <c r="AV36" s="477"/>
      <c r="AW36" s="477"/>
      <c r="AX36" s="477"/>
      <c r="AY36" s="478"/>
      <c r="AZ36" s="477"/>
      <c r="BA36" s="477"/>
      <c r="BB36" s="477"/>
      <c r="BC36" s="477"/>
      <c r="BD36" s="477"/>
      <c r="BE36" s="477"/>
      <c r="BF36" s="477"/>
      <c r="BG36" s="477"/>
      <c r="BH36" s="478"/>
      <c r="BI36" s="477"/>
      <c r="BJ36" s="477"/>
      <c r="BK36" s="477"/>
      <c r="BL36" s="478"/>
      <c r="BM36" s="478"/>
      <c r="BN36" s="478"/>
      <c r="BO36" s="477"/>
      <c r="BP36" s="477"/>
    </row>
    <row r="37" spans="1:70" ht="14.25" hidden="1" customHeight="1">
      <c r="B37" s="478"/>
      <c r="C37" s="477"/>
      <c r="D37" s="477"/>
      <c r="E37" s="477"/>
      <c r="F37" s="477"/>
      <c r="G37" s="477"/>
      <c r="H37" s="477"/>
      <c r="I37" s="480"/>
      <c r="J37" s="480"/>
      <c r="K37" s="480"/>
      <c r="L37" s="477"/>
      <c r="M37" s="477"/>
      <c r="N37" s="477"/>
      <c r="O37" s="477"/>
      <c r="P37" s="477"/>
      <c r="Q37" s="477"/>
      <c r="R37" s="477"/>
      <c r="S37" s="477"/>
      <c r="T37" s="477"/>
      <c r="U37" s="477"/>
      <c r="V37" s="477"/>
      <c r="W37" s="477"/>
      <c r="X37" s="477"/>
      <c r="Y37" s="477"/>
      <c r="Z37" s="477"/>
      <c r="AA37" s="478"/>
      <c r="AB37" s="478"/>
      <c r="AC37" s="477"/>
      <c r="AD37" s="477"/>
      <c r="AE37" s="477"/>
      <c r="AF37" s="478"/>
      <c r="AG37" s="477"/>
      <c r="AH37" s="477"/>
      <c r="AI37" s="477"/>
      <c r="AJ37" s="478"/>
      <c r="AK37" s="478"/>
      <c r="AL37" s="478"/>
      <c r="AM37" s="477"/>
      <c r="AN37" s="486"/>
      <c r="AO37" s="489"/>
      <c r="AP37" s="484"/>
      <c r="AQ37" s="477"/>
      <c r="AR37" s="477"/>
      <c r="AS37" s="477"/>
      <c r="AT37" s="477"/>
      <c r="AU37" s="477"/>
      <c r="AV37" s="477"/>
      <c r="AW37" s="477"/>
      <c r="AX37" s="477"/>
      <c r="AY37" s="478"/>
      <c r="AZ37" s="477"/>
      <c r="BA37" s="477"/>
      <c r="BB37" s="477"/>
      <c r="BC37" s="477"/>
      <c r="BD37" s="477"/>
      <c r="BE37" s="477"/>
      <c r="BF37" s="477"/>
      <c r="BG37" s="477"/>
      <c r="BH37" s="478"/>
      <c r="BI37" s="477"/>
      <c r="BJ37" s="477"/>
      <c r="BK37" s="477"/>
      <c r="BL37" s="478"/>
      <c r="BM37" s="478"/>
      <c r="BN37" s="478"/>
      <c r="BO37" s="477"/>
      <c r="BP37" s="477"/>
    </row>
    <row r="38" spans="1:70" ht="14.25" hidden="1" customHeight="1">
      <c r="B38" s="478"/>
      <c r="C38" s="477"/>
      <c r="D38" s="477"/>
      <c r="E38" s="477"/>
      <c r="F38" s="477"/>
      <c r="G38" s="477"/>
      <c r="H38" s="477"/>
      <c r="I38" s="480"/>
      <c r="J38" s="480"/>
      <c r="K38" s="480"/>
      <c r="L38" s="477"/>
      <c r="M38" s="477"/>
      <c r="N38" s="477"/>
      <c r="O38" s="477"/>
      <c r="P38" s="477"/>
      <c r="Q38" s="477"/>
      <c r="R38" s="477"/>
      <c r="S38" s="477"/>
      <c r="T38" s="477"/>
      <c r="U38" s="477"/>
      <c r="V38" s="477"/>
      <c r="W38" s="477"/>
      <c r="X38" s="477"/>
      <c r="Y38" s="477"/>
      <c r="Z38" s="477"/>
      <c r="AA38" s="478"/>
      <c r="AB38" s="478"/>
      <c r="AC38" s="477"/>
      <c r="AD38" s="477"/>
      <c r="AE38" s="477"/>
      <c r="AF38" s="478"/>
      <c r="AG38" s="477"/>
      <c r="AH38" s="477"/>
      <c r="AI38" s="477"/>
      <c r="AJ38" s="478"/>
      <c r="AK38" s="478"/>
      <c r="AL38" s="478"/>
      <c r="AM38" s="477"/>
      <c r="AN38" s="486"/>
      <c r="AO38" s="489"/>
      <c r="AP38" s="484"/>
      <c r="AQ38" s="477"/>
      <c r="AR38" s="477"/>
      <c r="AS38" s="477"/>
      <c r="AT38" s="477"/>
      <c r="AU38" s="477"/>
      <c r="AV38" s="477"/>
      <c r="AW38" s="477"/>
      <c r="AX38" s="477"/>
      <c r="AY38" s="478"/>
      <c r="AZ38" s="477"/>
      <c r="BA38" s="477"/>
      <c r="BB38" s="477"/>
      <c r="BC38" s="477"/>
      <c r="BD38" s="477"/>
      <c r="BE38" s="477"/>
      <c r="BF38" s="477"/>
      <c r="BG38" s="477"/>
      <c r="BH38" s="478"/>
      <c r="BI38" s="477"/>
      <c r="BJ38" s="477"/>
      <c r="BK38" s="477"/>
      <c r="BL38" s="478"/>
      <c r="BM38" s="478"/>
      <c r="BN38" s="478"/>
      <c r="BO38" s="477"/>
      <c r="BP38" s="477"/>
    </row>
    <row r="39" spans="1:70" ht="14.25" hidden="1" customHeight="1">
      <c r="A39" s="354"/>
      <c r="B39" s="478"/>
      <c r="C39" s="477"/>
      <c r="D39" s="477"/>
      <c r="E39" s="477"/>
      <c r="F39" s="477"/>
      <c r="G39" s="477"/>
      <c r="H39" s="477"/>
      <c r="I39" s="480"/>
      <c r="J39" s="480"/>
      <c r="K39" s="480"/>
      <c r="L39" s="477"/>
      <c r="M39" s="477"/>
      <c r="N39" s="477"/>
      <c r="O39" s="477"/>
      <c r="P39" s="477"/>
      <c r="Q39" s="477"/>
      <c r="R39" s="477"/>
      <c r="S39" s="477"/>
      <c r="T39" s="477"/>
      <c r="U39" s="477"/>
      <c r="V39" s="477"/>
      <c r="W39" s="477"/>
      <c r="X39" s="477"/>
      <c r="Y39" s="477"/>
      <c r="Z39" s="477"/>
      <c r="AA39" s="478"/>
      <c r="AB39" s="478"/>
      <c r="AC39" s="477"/>
      <c r="AD39" s="477"/>
      <c r="AE39" s="477"/>
      <c r="AF39" s="478"/>
      <c r="AG39" s="477"/>
      <c r="AH39" s="477"/>
      <c r="AI39" s="477"/>
      <c r="AJ39" s="478"/>
      <c r="AK39" s="478"/>
      <c r="AL39" s="478"/>
      <c r="AM39" s="477"/>
      <c r="AN39" s="486"/>
      <c r="AO39" s="489"/>
      <c r="AP39" s="484"/>
      <c r="AQ39" s="477"/>
      <c r="AR39" s="477"/>
      <c r="AS39" s="477"/>
      <c r="AT39" s="477"/>
      <c r="AU39" s="477"/>
      <c r="AV39" s="477"/>
      <c r="AW39" s="477"/>
      <c r="AX39" s="477"/>
      <c r="AY39" s="478"/>
      <c r="AZ39" s="477"/>
      <c r="BA39" s="477"/>
      <c r="BB39" s="477"/>
      <c r="BC39" s="477"/>
      <c r="BD39" s="477"/>
      <c r="BE39" s="477"/>
      <c r="BF39" s="477"/>
      <c r="BG39" s="477"/>
      <c r="BH39" s="478"/>
      <c r="BI39" s="477"/>
      <c r="BJ39" s="477"/>
      <c r="BK39" s="477"/>
      <c r="BL39" s="478"/>
      <c r="BM39" s="478"/>
      <c r="BN39" s="478"/>
      <c r="BO39" s="477"/>
      <c r="BP39" s="477"/>
    </row>
    <row r="40" spans="1:70" ht="14.25" hidden="1" customHeight="1">
      <c r="B40" s="478"/>
      <c r="C40" s="477"/>
      <c r="D40" s="477"/>
      <c r="E40" s="477"/>
      <c r="F40" s="477"/>
      <c r="G40" s="477"/>
      <c r="H40" s="477"/>
      <c r="I40" s="480"/>
      <c r="J40" s="480"/>
      <c r="K40" s="480"/>
      <c r="L40" s="477"/>
      <c r="M40" s="477"/>
      <c r="N40" s="477"/>
      <c r="O40" s="477"/>
      <c r="P40" s="477"/>
      <c r="Q40" s="477"/>
      <c r="R40" s="477"/>
      <c r="S40" s="477"/>
      <c r="T40" s="477"/>
      <c r="U40" s="477"/>
      <c r="V40" s="477"/>
      <c r="W40" s="477"/>
      <c r="X40" s="477"/>
      <c r="Y40" s="477"/>
      <c r="Z40" s="477"/>
      <c r="AA40" s="478"/>
      <c r="AB40" s="478"/>
      <c r="AC40" s="477"/>
      <c r="AD40" s="477"/>
      <c r="AE40" s="477"/>
      <c r="AF40" s="478"/>
      <c r="AG40" s="477"/>
      <c r="AH40" s="477"/>
      <c r="AI40" s="477"/>
      <c r="AJ40" s="478"/>
      <c r="AK40" s="478"/>
      <c r="AL40" s="478"/>
      <c r="AM40" s="477"/>
      <c r="AN40" s="486"/>
      <c r="AO40" s="489"/>
      <c r="AP40" s="484"/>
      <c r="AQ40" s="477"/>
      <c r="AR40" s="477"/>
      <c r="AS40" s="477"/>
      <c r="AT40" s="477"/>
      <c r="AU40" s="477"/>
      <c r="AV40" s="477"/>
      <c r="AW40" s="477"/>
      <c r="AX40" s="477"/>
      <c r="AY40" s="478"/>
      <c r="AZ40" s="477"/>
      <c r="BA40" s="477"/>
      <c r="BB40" s="477"/>
      <c r="BC40" s="477"/>
      <c r="BD40" s="477"/>
      <c r="BE40" s="477"/>
      <c r="BF40" s="477"/>
      <c r="BG40" s="477"/>
      <c r="BH40" s="478"/>
      <c r="BI40" s="477"/>
      <c r="BJ40" s="477"/>
      <c r="BK40" s="477"/>
      <c r="BL40" s="478"/>
      <c r="BM40" s="478"/>
      <c r="BN40" s="478"/>
      <c r="BO40" s="477"/>
      <c r="BP40" s="477"/>
    </row>
    <row r="41" spans="1:70" ht="14.25" hidden="1" customHeight="1">
      <c r="B41" s="478"/>
      <c r="C41" s="477"/>
      <c r="D41" s="477"/>
      <c r="E41" s="477"/>
      <c r="F41" s="477"/>
      <c r="G41" s="477"/>
      <c r="H41" s="477"/>
      <c r="I41" s="480"/>
      <c r="J41" s="480"/>
      <c r="K41" s="480"/>
      <c r="L41" s="477"/>
      <c r="M41" s="477"/>
      <c r="N41" s="477"/>
      <c r="O41" s="477"/>
      <c r="P41" s="477"/>
      <c r="Q41" s="477"/>
      <c r="R41" s="477"/>
      <c r="S41" s="477"/>
      <c r="T41" s="477"/>
      <c r="U41" s="477"/>
      <c r="V41" s="477"/>
      <c r="W41" s="477"/>
      <c r="X41" s="477"/>
      <c r="Y41" s="477"/>
      <c r="Z41" s="477"/>
      <c r="AA41" s="478"/>
      <c r="AB41" s="478"/>
      <c r="AC41" s="477"/>
      <c r="AD41" s="477"/>
      <c r="AE41" s="477"/>
      <c r="AF41" s="478"/>
      <c r="AG41" s="477"/>
      <c r="AH41" s="477"/>
      <c r="AI41" s="477"/>
      <c r="AJ41" s="478"/>
      <c r="AK41" s="478"/>
      <c r="AL41" s="478"/>
      <c r="AM41" s="477"/>
      <c r="AN41" s="486"/>
      <c r="AO41" s="489"/>
      <c r="AP41" s="484"/>
      <c r="AQ41" s="477"/>
      <c r="AR41" s="477"/>
      <c r="AS41" s="477"/>
      <c r="AT41" s="477"/>
      <c r="AU41" s="477"/>
      <c r="AV41" s="477"/>
      <c r="AW41" s="477"/>
      <c r="AX41" s="477"/>
      <c r="AY41" s="478"/>
      <c r="AZ41" s="477"/>
      <c r="BA41" s="477"/>
      <c r="BB41" s="477"/>
      <c r="BC41" s="477"/>
      <c r="BD41" s="477"/>
      <c r="BE41" s="477"/>
      <c r="BF41" s="477"/>
      <c r="BG41" s="477"/>
      <c r="BH41" s="478"/>
      <c r="BI41" s="477"/>
      <c r="BJ41" s="477"/>
      <c r="BK41" s="477"/>
      <c r="BL41" s="478"/>
      <c r="BM41" s="478"/>
      <c r="BN41" s="478"/>
      <c r="BO41" s="477"/>
      <c r="BP41" s="477"/>
    </row>
    <row r="42" spans="1:70" ht="14.25" hidden="1" customHeight="1">
      <c r="B42" s="478"/>
      <c r="C42" s="477"/>
      <c r="D42" s="477"/>
      <c r="E42" s="477"/>
      <c r="F42" s="477"/>
      <c r="G42" s="477"/>
      <c r="H42" s="477"/>
      <c r="I42" s="480"/>
      <c r="J42" s="480"/>
      <c r="K42" s="480"/>
      <c r="L42" s="477"/>
      <c r="M42" s="477"/>
      <c r="N42" s="477"/>
      <c r="O42" s="477"/>
      <c r="P42" s="477"/>
      <c r="Q42" s="477"/>
      <c r="R42" s="477"/>
      <c r="S42" s="477"/>
      <c r="T42" s="477"/>
      <c r="U42" s="477"/>
      <c r="V42" s="477"/>
      <c r="W42" s="477"/>
      <c r="X42" s="477"/>
      <c r="Y42" s="477"/>
      <c r="Z42" s="477"/>
      <c r="AA42" s="478"/>
      <c r="AB42" s="478"/>
      <c r="AC42" s="477"/>
      <c r="AD42" s="477"/>
      <c r="AE42" s="477"/>
      <c r="AF42" s="478"/>
      <c r="AG42" s="477"/>
      <c r="AH42" s="477"/>
      <c r="AI42" s="477"/>
      <c r="AJ42" s="478"/>
      <c r="AK42" s="478"/>
      <c r="AL42" s="478"/>
      <c r="AM42" s="477"/>
      <c r="AN42" s="486"/>
      <c r="AO42" s="489"/>
      <c r="AP42" s="484"/>
      <c r="AQ42" s="477"/>
      <c r="AR42" s="477"/>
      <c r="AS42" s="477"/>
      <c r="AT42" s="477"/>
      <c r="AU42" s="477"/>
      <c r="AV42" s="477"/>
      <c r="AW42" s="477"/>
      <c r="AX42" s="477"/>
      <c r="AY42" s="478"/>
      <c r="AZ42" s="477"/>
      <c r="BA42" s="477"/>
      <c r="BB42" s="477"/>
      <c r="BC42" s="477"/>
      <c r="BD42" s="477"/>
      <c r="BE42" s="477"/>
      <c r="BF42" s="477"/>
      <c r="BG42" s="477"/>
      <c r="BH42" s="478"/>
      <c r="BI42" s="477"/>
      <c r="BJ42" s="477"/>
      <c r="BK42" s="477"/>
      <c r="BL42" s="478"/>
      <c r="BM42" s="478"/>
      <c r="BN42" s="478"/>
      <c r="BO42" s="477"/>
      <c r="BP42" s="477"/>
    </row>
    <row r="43" spans="1:70" ht="14.25" hidden="1" customHeight="1">
      <c r="B43" s="478"/>
      <c r="C43" s="477"/>
      <c r="D43" s="477"/>
      <c r="E43" s="477"/>
      <c r="F43" s="477"/>
      <c r="G43" s="477"/>
      <c r="H43" s="477"/>
      <c r="I43" s="480"/>
      <c r="J43" s="480"/>
      <c r="K43" s="480"/>
      <c r="L43" s="477"/>
      <c r="M43" s="477"/>
      <c r="N43" s="477"/>
      <c r="O43" s="477"/>
      <c r="P43" s="477"/>
      <c r="Q43" s="477"/>
      <c r="R43" s="477"/>
      <c r="S43" s="477"/>
      <c r="T43" s="477"/>
      <c r="U43" s="477"/>
      <c r="V43" s="477"/>
      <c r="W43" s="477"/>
      <c r="X43" s="477"/>
      <c r="Y43" s="477"/>
      <c r="Z43" s="477"/>
      <c r="AA43" s="478"/>
      <c r="AB43" s="478"/>
      <c r="AC43" s="477"/>
      <c r="AD43" s="477"/>
      <c r="AE43" s="477"/>
      <c r="AF43" s="478"/>
      <c r="AG43" s="477"/>
      <c r="AH43" s="477"/>
      <c r="AI43" s="477"/>
      <c r="AJ43" s="478"/>
      <c r="AK43" s="478"/>
      <c r="AL43" s="478"/>
      <c r="AM43" s="477"/>
      <c r="AN43" s="486"/>
      <c r="AO43" s="489"/>
      <c r="AP43" s="484"/>
      <c r="AQ43" s="477"/>
      <c r="AR43" s="477"/>
      <c r="AS43" s="477"/>
      <c r="AT43" s="477"/>
      <c r="AU43" s="477"/>
      <c r="AV43" s="477"/>
      <c r="AW43" s="477"/>
      <c r="AX43" s="477"/>
      <c r="AY43" s="478"/>
      <c r="AZ43" s="477"/>
      <c r="BA43" s="477"/>
      <c r="BB43" s="477"/>
      <c r="BC43" s="477"/>
      <c r="BD43" s="477"/>
      <c r="BE43" s="477"/>
      <c r="BF43" s="477"/>
      <c r="BG43" s="477"/>
      <c r="BH43" s="478"/>
      <c r="BI43" s="477"/>
      <c r="BJ43" s="477"/>
      <c r="BK43" s="477"/>
      <c r="BL43" s="478"/>
      <c r="BM43" s="478"/>
      <c r="BN43" s="478"/>
      <c r="BO43" s="477"/>
      <c r="BP43" s="477"/>
    </row>
    <row r="44" spans="1:70" ht="14.25" hidden="1" customHeight="1">
      <c r="B44" s="478"/>
      <c r="C44" s="477"/>
      <c r="D44" s="477"/>
      <c r="E44" s="477"/>
      <c r="F44" s="477"/>
      <c r="G44" s="477"/>
      <c r="H44" s="477"/>
      <c r="I44" s="480"/>
      <c r="J44" s="480"/>
      <c r="K44" s="480"/>
      <c r="L44" s="477"/>
      <c r="M44" s="477"/>
      <c r="N44" s="477"/>
      <c r="O44" s="477"/>
      <c r="P44" s="477"/>
      <c r="Q44" s="477"/>
      <c r="R44" s="477"/>
      <c r="S44" s="477"/>
      <c r="T44" s="477"/>
      <c r="U44" s="477"/>
      <c r="V44" s="477"/>
      <c r="W44" s="477"/>
      <c r="X44" s="477"/>
      <c r="Y44" s="477"/>
      <c r="Z44" s="477"/>
      <c r="AA44" s="478"/>
      <c r="AB44" s="478"/>
      <c r="AC44" s="477"/>
      <c r="AD44" s="477"/>
      <c r="AE44" s="477"/>
      <c r="AF44" s="478"/>
      <c r="AG44" s="477"/>
      <c r="AH44" s="477"/>
      <c r="AI44" s="477"/>
      <c r="AJ44" s="478"/>
      <c r="AK44" s="478"/>
      <c r="AL44" s="478"/>
      <c r="AM44" s="477"/>
      <c r="AN44" s="486"/>
      <c r="AO44" s="489"/>
      <c r="AP44" s="484"/>
      <c r="AQ44" s="477"/>
      <c r="AR44" s="477"/>
      <c r="AS44" s="477"/>
      <c r="AT44" s="477"/>
      <c r="AU44" s="477"/>
      <c r="AV44" s="477"/>
      <c r="AW44" s="477"/>
      <c r="AX44" s="477"/>
      <c r="AY44" s="478"/>
      <c r="AZ44" s="477"/>
      <c r="BA44" s="477"/>
      <c r="BB44" s="477"/>
      <c r="BC44" s="477"/>
      <c r="BD44" s="477"/>
      <c r="BE44" s="477"/>
      <c r="BF44" s="477"/>
      <c r="BG44" s="477"/>
      <c r="BH44" s="478"/>
      <c r="BI44" s="477"/>
      <c r="BJ44" s="477"/>
      <c r="BK44" s="477"/>
      <c r="BL44" s="478"/>
      <c r="BM44" s="478"/>
      <c r="BN44" s="478"/>
      <c r="BO44" s="477"/>
      <c r="BP44" s="477"/>
    </row>
    <row r="45" spans="1:70" ht="14.25" hidden="1" customHeight="1">
      <c r="B45" s="478"/>
      <c r="C45" s="477"/>
      <c r="D45" s="477"/>
      <c r="E45" s="477"/>
      <c r="F45" s="477"/>
      <c r="G45" s="477"/>
      <c r="H45" s="477"/>
      <c r="I45" s="480"/>
      <c r="J45" s="480"/>
      <c r="K45" s="480"/>
      <c r="L45" s="477"/>
      <c r="M45" s="477"/>
      <c r="N45" s="477"/>
      <c r="O45" s="477"/>
      <c r="P45" s="477"/>
      <c r="Q45" s="477"/>
      <c r="R45" s="477"/>
      <c r="S45" s="477"/>
      <c r="T45" s="477"/>
      <c r="U45" s="477"/>
      <c r="V45" s="477"/>
      <c r="W45" s="477"/>
      <c r="X45" s="477"/>
      <c r="Y45" s="477"/>
      <c r="Z45" s="477"/>
      <c r="AA45" s="478"/>
      <c r="AB45" s="478"/>
      <c r="AC45" s="477"/>
      <c r="AD45" s="477"/>
      <c r="AE45" s="477"/>
      <c r="AF45" s="478"/>
      <c r="AG45" s="477"/>
      <c r="AH45" s="477"/>
      <c r="AI45" s="477"/>
      <c r="AJ45" s="478"/>
      <c r="AK45" s="478"/>
      <c r="AL45" s="478"/>
      <c r="AM45" s="477"/>
      <c r="AN45" s="486"/>
      <c r="AO45" s="489"/>
      <c r="AP45" s="484"/>
      <c r="AQ45" s="477"/>
      <c r="AR45" s="477"/>
      <c r="AS45" s="477"/>
      <c r="AT45" s="477"/>
      <c r="AU45" s="477"/>
      <c r="AV45" s="477"/>
      <c r="AW45" s="477"/>
      <c r="AX45" s="477"/>
      <c r="AY45" s="478"/>
      <c r="AZ45" s="477"/>
      <c r="BA45" s="477"/>
      <c r="BB45" s="477"/>
      <c r="BC45" s="477"/>
      <c r="BD45" s="477"/>
      <c r="BE45" s="477"/>
      <c r="BF45" s="477"/>
      <c r="BG45" s="477"/>
      <c r="BH45" s="478"/>
      <c r="BI45" s="477"/>
      <c r="BJ45" s="477"/>
      <c r="BK45" s="477"/>
      <c r="BL45" s="478"/>
      <c r="BM45" s="478"/>
      <c r="BN45" s="478"/>
      <c r="BO45" s="477"/>
      <c r="BP45" s="477"/>
    </row>
    <row r="46" spans="1:70" ht="14.25" hidden="1" customHeight="1">
      <c r="B46" s="478"/>
      <c r="C46" s="477"/>
      <c r="D46" s="477"/>
      <c r="E46" s="477"/>
      <c r="F46" s="477"/>
      <c r="G46" s="477"/>
      <c r="H46" s="477"/>
      <c r="I46" s="480"/>
      <c r="J46" s="480"/>
      <c r="K46" s="480"/>
      <c r="L46" s="477"/>
      <c r="M46" s="477"/>
      <c r="N46" s="477"/>
      <c r="O46" s="477"/>
      <c r="P46" s="477"/>
      <c r="Q46" s="477"/>
      <c r="R46" s="477"/>
      <c r="S46" s="477"/>
      <c r="T46" s="477"/>
      <c r="U46" s="477"/>
      <c r="V46" s="477"/>
      <c r="W46" s="477"/>
      <c r="X46" s="477"/>
      <c r="Y46" s="477"/>
      <c r="Z46" s="477"/>
      <c r="AA46" s="478"/>
      <c r="AB46" s="478"/>
      <c r="AC46" s="477"/>
      <c r="AD46" s="477"/>
      <c r="AE46" s="477"/>
      <c r="AF46" s="478"/>
      <c r="AG46" s="477"/>
      <c r="AH46" s="477"/>
      <c r="AI46" s="477"/>
      <c r="AJ46" s="478"/>
      <c r="AK46" s="478"/>
      <c r="AL46" s="478"/>
      <c r="AM46" s="477"/>
      <c r="AN46" s="486"/>
      <c r="AO46" s="489"/>
      <c r="AP46" s="484"/>
      <c r="AQ46" s="477"/>
      <c r="AR46" s="477"/>
      <c r="AS46" s="477"/>
      <c r="AT46" s="477"/>
      <c r="AU46" s="477"/>
      <c r="AV46" s="477"/>
      <c r="AW46" s="477"/>
      <c r="AX46" s="477"/>
      <c r="AY46" s="478"/>
      <c r="AZ46" s="477"/>
      <c r="BA46" s="477"/>
      <c r="BB46" s="477"/>
      <c r="BC46" s="477"/>
      <c r="BD46" s="477"/>
      <c r="BE46" s="477"/>
      <c r="BF46" s="477"/>
      <c r="BG46" s="477"/>
      <c r="BH46" s="478"/>
      <c r="BI46" s="477"/>
      <c r="BJ46" s="477"/>
      <c r="BK46" s="477"/>
      <c r="BL46" s="478"/>
      <c r="BM46" s="478"/>
      <c r="BN46" s="478"/>
      <c r="BO46" s="477"/>
      <c r="BP46" s="477"/>
    </row>
    <row r="47" spans="1:70" ht="14.25" hidden="1" customHeight="1">
      <c r="B47" s="478"/>
      <c r="C47" s="477"/>
      <c r="D47" s="477"/>
      <c r="E47" s="477"/>
      <c r="F47" s="477"/>
      <c r="G47" s="477"/>
      <c r="H47" s="477"/>
      <c r="I47" s="480"/>
      <c r="J47" s="480"/>
      <c r="K47" s="480"/>
      <c r="L47" s="477"/>
      <c r="M47" s="477"/>
      <c r="N47" s="477"/>
      <c r="O47" s="477"/>
      <c r="P47" s="477"/>
      <c r="Q47" s="477"/>
      <c r="R47" s="477"/>
      <c r="S47" s="477"/>
      <c r="T47" s="477"/>
      <c r="U47" s="477"/>
      <c r="V47" s="477"/>
      <c r="W47" s="477"/>
      <c r="X47" s="477"/>
      <c r="Y47" s="477"/>
      <c r="Z47" s="477"/>
      <c r="AA47" s="478"/>
      <c r="AB47" s="478"/>
      <c r="AC47" s="477"/>
      <c r="AD47" s="477"/>
      <c r="AE47" s="477"/>
      <c r="AF47" s="478"/>
      <c r="AG47" s="477"/>
      <c r="AH47" s="477"/>
      <c r="AI47" s="477"/>
      <c r="AJ47" s="478"/>
      <c r="AK47" s="478"/>
      <c r="AL47" s="478"/>
      <c r="AM47" s="477"/>
      <c r="AN47" s="486"/>
      <c r="AO47" s="489"/>
      <c r="AP47" s="484"/>
      <c r="AQ47" s="477"/>
      <c r="AR47" s="477"/>
      <c r="AS47" s="477"/>
      <c r="AT47" s="477"/>
      <c r="AU47" s="477"/>
      <c r="AV47" s="477"/>
      <c r="AW47" s="477"/>
      <c r="AX47" s="477"/>
      <c r="AY47" s="478"/>
      <c r="AZ47" s="477"/>
      <c r="BA47" s="477"/>
      <c r="BB47" s="477"/>
      <c r="BC47" s="477"/>
      <c r="BD47" s="477"/>
      <c r="BE47" s="477"/>
      <c r="BF47" s="477"/>
      <c r="BG47" s="477"/>
      <c r="BH47" s="478"/>
      <c r="BI47" s="477"/>
      <c r="BJ47" s="477"/>
      <c r="BK47" s="477"/>
      <c r="BL47" s="478"/>
      <c r="BM47" s="478"/>
      <c r="BN47" s="478"/>
      <c r="BO47" s="477"/>
      <c r="BP47" s="477"/>
    </row>
    <row r="48" spans="1:70" ht="14.25" hidden="1" customHeight="1">
      <c r="B48" s="478"/>
      <c r="C48" s="477"/>
      <c r="D48" s="477"/>
      <c r="E48" s="477"/>
      <c r="F48" s="477"/>
      <c r="G48" s="477"/>
      <c r="H48" s="477"/>
      <c r="I48" s="480"/>
      <c r="J48" s="480"/>
      <c r="K48" s="480"/>
      <c r="L48" s="477"/>
      <c r="M48" s="477"/>
      <c r="N48" s="477"/>
      <c r="O48" s="477"/>
      <c r="P48" s="477"/>
      <c r="Q48" s="477"/>
      <c r="R48" s="477"/>
      <c r="S48" s="477"/>
      <c r="T48" s="477"/>
      <c r="U48" s="477"/>
      <c r="V48" s="477"/>
      <c r="W48" s="477"/>
      <c r="X48" s="477"/>
      <c r="Y48" s="477"/>
      <c r="Z48" s="477"/>
      <c r="AA48" s="478"/>
      <c r="AB48" s="478"/>
      <c r="AC48" s="477"/>
      <c r="AD48" s="477"/>
      <c r="AE48" s="477"/>
      <c r="AF48" s="478"/>
      <c r="AG48" s="477"/>
      <c r="AH48" s="477"/>
      <c r="AI48" s="477"/>
      <c r="AJ48" s="478"/>
      <c r="AK48" s="478"/>
      <c r="AL48" s="478"/>
      <c r="AM48" s="477"/>
      <c r="AN48" s="486"/>
      <c r="AO48" s="489"/>
      <c r="AP48" s="484"/>
      <c r="AQ48" s="477"/>
      <c r="AR48" s="477"/>
      <c r="AS48" s="477"/>
      <c r="AT48" s="477"/>
      <c r="AU48" s="477"/>
      <c r="AV48" s="477"/>
      <c r="AW48" s="477"/>
      <c r="AX48" s="477"/>
      <c r="AY48" s="478"/>
      <c r="AZ48" s="477"/>
      <c r="BA48" s="477"/>
      <c r="BB48" s="477"/>
      <c r="BC48" s="477"/>
      <c r="BD48" s="477"/>
      <c r="BE48" s="477"/>
      <c r="BF48" s="477"/>
      <c r="BG48" s="477"/>
      <c r="BH48" s="478"/>
      <c r="BI48" s="477"/>
      <c r="BJ48" s="477"/>
      <c r="BK48" s="477"/>
      <c r="BL48" s="478"/>
      <c r="BM48" s="478"/>
      <c r="BN48" s="478"/>
      <c r="BO48" s="477"/>
      <c r="BP48" s="477"/>
    </row>
    <row r="49" spans="2:68" ht="14.25" hidden="1" customHeight="1">
      <c r="B49" s="478"/>
      <c r="C49" s="477"/>
      <c r="D49" s="477"/>
      <c r="E49" s="477"/>
      <c r="F49" s="477"/>
      <c r="G49" s="477"/>
      <c r="H49" s="477"/>
      <c r="I49" s="480"/>
      <c r="J49" s="480"/>
      <c r="K49" s="480"/>
      <c r="L49" s="477"/>
      <c r="M49" s="477"/>
      <c r="N49" s="477"/>
      <c r="O49" s="477"/>
      <c r="P49" s="477"/>
      <c r="Q49" s="477"/>
      <c r="R49" s="477"/>
      <c r="S49" s="477"/>
      <c r="T49" s="477"/>
      <c r="U49" s="477"/>
      <c r="V49" s="477"/>
      <c r="W49" s="477"/>
      <c r="X49" s="477"/>
      <c r="Y49" s="477"/>
      <c r="Z49" s="477"/>
      <c r="AA49" s="478"/>
      <c r="AB49" s="478"/>
      <c r="AC49" s="477"/>
      <c r="AD49" s="477"/>
      <c r="AE49" s="477"/>
      <c r="AF49" s="478"/>
      <c r="AG49" s="477"/>
      <c r="AH49" s="477"/>
      <c r="AI49" s="477"/>
      <c r="AJ49" s="478"/>
      <c r="AK49" s="478"/>
      <c r="AL49" s="478"/>
      <c r="AM49" s="477"/>
      <c r="AN49" s="486"/>
      <c r="AO49" s="489"/>
      <c r="AP49" s="484"/>
      <c r="AQ49" s="477"/>
      <c r="AR49" s="477"/>
      <c r="AS49" s="477"/>
      <c r="AT49" s="477"/>
      <c r="AU49" s="477"/>
      <c r="AV49" s="477"/>
      <c r="AW49" s="477"/>
      <c r="AX49" s="477"/>
      <c r="AY49" s="478"/>
      <c r="AZ49" s="477"/>
      <c r="BA49" s="477"/>
      <c r="BB49" s="477"/>
      <c r="BC49" s="477"/>
      <c r="BD49" s="477"/>
      <c r="BE49" s="477"/>
      <c r="BF49" s="477"/>
      <c r="BG49" s="477"/>
      <c r="BH49" s="478"/>
      <c r="BI49" s="477"/>
      <c r="BJ49" s="477"/>
      <c r="BK49" s="477"/>
      <c r="BL49" s="478"/>
      <c r="BM49" s="478"/>
      <c r="BN49" s="478"/>
      <c r="BO49" s="477"/>
      <c r="BP49" s="477"/>
    </row>
    <row r="50" spans="2:68" ht="14.25" hidden="1" customHeight="1">
      <c r="B50" s="478"/>
      <c r="C50" s="477"/>
      <c r="D50" s="477"/>
      <c r="E50" s="477"/>
      <c r="F50" s="477"/>
      <c r="G50" s="477"/>
      <c r="H50" s="477"/>
      <c r="I50" s="480"/>
      <c r="J50" s="480"/>
      <c r="K50" s="480"/>
      <c r="L50" s="477"/>
      <c r="M50" s="477"/>
      <c r="N50" s="477"/>
      <c r="O50" s="477"/>
      <c r="P50" s="477"/>
      <c r="Q50" s="477"/>
      <c r="R50" s="477"/>
      <c r="S50" s="477"/>
      <c r="T50" s="477"/>
      <c r="U50" s="477"/>
      <c r="V50" s="477"/>
      <c r="W50" s="477"/>
      <c r="X50" s="477"/>
      <c r="Y50" s="477"/>
      <c r="Z50" s="477"/>
      <c r="AA50" s="478"/>
      <c r="AB50" s="478"/>
      <c r="AC50" s="477"/>
      <c r="AD50" s="477"/>
      <c r="AE50" s="477"/>
      <c r="AF50" s="478"/>
      <c r="AG50" s="477"/>
      <c r="AH50" s="477"/>
      <c r="AI50" s="477"/>
      <c r="AJ50" s="478"/>
      <c r="AK50" s="478"/>
      <c r="AL50" s="478"/>
      <c r="AM50" s="477"/>
      <c r="AN50" s="486"/>
      <c r="AO50" s="489"/>
      <c r="AP50" s="484"/>
      <c r="AQ50" s="477"/>
      <c r="AR50" s="477"/>
      <c r="AS50" s="477"/>
      <c r="AT50" s="477"/>
      <c r="AU50" s="477"/>
      <c r="AV50" s="477"/>
      <c r="AW50" s="477"/>
      <c r="AX50" s="477"/>
      <c r="AY50" s="478"/>
      <c r="AZ50" s="477"/>
      <c r="BA50" s="477"/>
      <c r="BB50" s="477"/>
      <c r="BC50" s="477"/>
      <c r="BD50" s="477"/>
      <c r="BE50" s="477"/>
      <c r="BF50" s="477"/>
      <c r="BG50" s="477"/>
      <c r="BH50" s="478"/>
      <c r="BI50" s="477"/>
      <c r="BJ50" s="477"/>
      <c r="BK50" s="477"/>
      <c r="BL50" s="478"/>
      <c r="BM50" s="478"/>
      <c r="BN50" s="478"/>
      <c r="BO50" s="477"/>
      <c r="BP50" s="477"/>
    </row>
    <row r="51" spans="2:68" ht="14.25" hidden="1" customHeight="1">
      <c r="B51" s="478"/>
      <c r="C51" s="477"/>
      <c r="D51" s="477"/>
      <c r="E51" s="477"/>
      <c r="F51" s="477"/>
      <c r="G51" s="477"/>
      <c r="H51" s="477"/>
      <c r="I51" s="480"/>
      <c r="J51" s="480"/>
      <c r="K51" s="480"/>
      <c r="L51" s="477"/>
      <c r="M51" s="477"/>
      <c r="N51" s="477"/>
      <c r="O51" s="477"/>
      <c r="P51" s="477"/>
      <c r="Q51" s="477"/>
      <c r="R51" s="477"/>
      <c r="S51" s="477"/>
      <c r="T51" s="477"/>
      <c r="U51" s="477"/>
      <c r="V51" s="477"/>
      <c r="W51" s="477"/>
      <c r="X51" s="477"/>
      <c r="Y51" s="477"/>
      <c r="Z51" s="477"/>
      <c r="AA51" s="478"/>
      <c r="AB51" s="478"/>
      <c r="AC51" s="477"/>
      <c r="AD51" s="477"/>
      <c r="AE51" s="477"/>
      <c r="AF51" s="478"/>
      <c r="AG51" s="477"/>
      <c r="AH51" s="477"/>
      <c r="AI51" s="477"/>
      <c r="AJ51" s="478"/>
      <c r="AK51" s="478"/>
      <c r="AL51" s="478"/>
      <c r="AM51" s="477"/>
      <c r="AN51" s="486"/>
      <c r="AO51" s="489"/>
      <c r="AP51" s="484"/>
      <c r="AQ51" s="477"/>
      <c r="AR51" s="477"/>
      <c r="AS51" s="477"/>
      <c r="AT51" s="477"/>
      <c r="AU51" s="477"/>
      <c r="AV51" s="477"/>
      <c r="AW51" s="477"/>
      <c r="AX51" s="477"/>
      <c r="AY51" s="478"/>
      <c r="AZ51" s="477"/>
      <c r="BA51" s="477"/>
      <c r="BB51" s="477"/>
      <c r="BC51" s="477"/>
      <c r="BD51" s="477"/>
      <c r="BE51" s="477"/>
      <c r="BF51" s="477"/>
      <c r="BG51" s="477"/>
      <c r="BH51" s="478"/>
      <c r="BI51" s="477"/>
      <c r="BJ51" s="477"/>
      <c r="BK51" s="477"/>
      <c r="BL51" s="478"/>
      <c r="BM51" s="478"/>
      <c r="BN51" s="478"/>
      <c r="BO51" s="477"/>
      <c r="BP51" s="477"/>
    </row>
    <row r="52" spans="2:68" ht="14.25" hidden="1" customHeight="1">
      <c r="B52" s="478"/>
      <c r="C52" s="477"/>
      <c r="D52" s="477"/>
      <c r="E52" s="477"/>
      <c r="F52" s="477"/>
      <c r="G52" s="477"/>
      <c r="H52" s="477"/>
      <c r="I52" s="480"/>
      <c r="J52" s="480"/>
      <c r="K52" s="480"/>
      <c r="L52" s="477"/>
      <c r="M52" s="477"/>
      <c r="N52" s="477"/>
      <c r="O52" s="477"/>
      <c r="P52" s="477"/>
      <c r="Q52" s="477"/>
      <c r="R52" s="477"/>
      <c r="S52" s="477"/>
      <c r="T52" s="477"/>
      <c r="U52" s="477"/>
      <c r="V52" s="477"/>
      <c r="W52" s="477"/>
      <c r="X52" s="477"/>
      <c r="Y52" s="477"/>
      <c r="Z52" s="477"/>
      <c r="AA52" s="478"/>
      <c r="AB52" s="478"/>
      <c r="AC52" s="477"/>
      <c r="AD52" s="477"/>
      <c r="AE52" s="477"/>
      <c r="AF52" s="478"/>
      <c r="AG52" s="477"/>
      <c r="AH52" s="477"/>
      <c r="AI52" s="477"/>
      <c r="AJ52" s="478"/>
      <c r="AK52" s="478"/>
      <c r="AL52" s="478"/>
      <c r="AM52" s="477"/>
      <c r="AN52" s="486"/>
      <c r="AO52" s="489"/>
      <c r="AP52" s="484"/>
      <c r="AQ52" s="477"/>
      <c r="AR52" s="477"/>
      <c r="AS52" s="477"/>
      <c r="AT52" s="477"/>
      <c r="AU52" s="477"/>
      <c r="AV52" s="477"/>
      <c r="AW52" s="477"/>
      <c r="AX52" s="477"/>
      <c r="AY52" s="478"/>
      <c r="AZ52" s="477"/>
      <c r="BA52" s="477"/>
      <c r="BB52" s="477"/>
      <c r="BC52" s="477"/>
      <c r="BD52" s="477"/>
      <c r="BE52" s="477"/>
      <c r="BF52" s="477"/>
      <c r="BG52" s="477"/>
      <c r="BH52" s="478"/>
      <c r="BI52" s="477"/>
      <c r="BJ52" s="477"/>
      <c r="BK52" s="477"/>
      <c r="BL52" s="478"/>
      <c r="BM52" s="478"/>
      <c r="BN52" s="478"/>
      <c r="BO52" s="477"/>
      <c r="BP52" s="477"/>
    </row>
    <row r="53" spans="2:68" ht="14.25" hidden="1" customHeight="1">
      <c r="B53" s="478"/>
      <c r="C53" s="477"/>
      <c r="D53" s="477"/>
      <c r="E53" s="477"/>
      <c r="F53" s="477"/>
      <c r="G53" s="477"/>
      <c r="H53" s="477"/>
      <c r="I53" s="480"/>
      <c r="J53" s="480"/>
      <c r="K53" s="480"/>
      <c r="L53" s="477"/>
      <c r="M53" s="477"/>
      <c r="N53" s="477"/>
      <c r="O53" s="477"/>
      <c r="P53" s="477"/>
      <c r="Q53" s="477"/>
      <c r="R53" s="477"/>
      <c r="S53" s="477"/>
      <c r="T53" s="477"/>
      <c r="U53" s="477"/>
      <c r="V53" s="477"/>
      <c r="W53" s="477"/>
      <c r="X53" s="477"/>
      <c r="Y53" s="477"/>
      <c r="Z53" s="477"/>
      <c r="AA53" s="478"/>
      <c r="AB53" s="478"/>
      <c r="AC53" s="477"/>
      <c r="AD53" s="477"/>
      <c r="AE53" s="477"/>
      <c r="AF53" s="478"/>
      <c r="AG53" s="477"/>
      <c r="AH53" s="477"/>
      <c r="AI53" s="477"/>
      <c r="AJ53" s="478"/>
      <c r="AK53" s="478"/>
      <c r="AL53" s="478"/>
      <c r="AM53" s="477"/>
      <c r="AN53" s="486"/>
      <c r="AO53" s="489"/>
      <c r="AP53" s="484"/>
      <c r="AQ53" s="477"/>
      <c r="AR53" s="477"/>
      <c r="AS53" s="477"/>
      <c r="AT53" s="477"/>
      <c r="AU53" s="477"/>
      <c r="AV53" s="477"/>
      <c r="AW53" s="477"/>
      <c r="AX53" s="477"/>
      <c r="AY53" s="478"/>
      <c r="AZ53" s="477"/>
      <c r="BA53" s="477"/>
      <c r="BB53" s="477"/>
      <c r="BC53" s="477"/>
      <c r="BD53" s="477"/>
      <c r="BE53" s="477"/>
      <c r="BF53" s="477"/>
      <c r="BG53" s="477"/>
      <c r="BH53" s="478"/>
      <c r="BI53" s="477"/>
      <c r="BJ53" s="477"/>
      <c r="BK53" s="477"/>
      <c r="BL53" s="478"/>
      <c r="BM53" s="478"/>
      <c r="BN53" s="478"/>
      <c r="BO53" s="477"/>
      <c r="BP53" s="477"/>
    </row>
    <row r="54" spans="2:68" ht="14.25" hidden="1" customHeight="1">
      <c r="B54" s="478"/>
      <c r="C54" s="477"/>
      <c r="D54" s="477"/>
      <c r="E54" s="477"/>
      <c r="F54" s="477"/>
      <c r="G54" s="477"/>
      <c r="H54" s="477"/>
      <c r="I54" s="480"/>
      <c r="J54" s="480"/>
      <c r="K54" s="480"/>
      <c r="L54" s="477"/>
      <c r="M54" s="477"/>
      <c r="N54" s="477"/>
      <c r="O54" s="477"/>
      <c r="P54" s="477"/>
      <c r="Q54" s="477"/>
      <c r="R54" s="477"/>
      <c r="S54" s="477"/>
      <c r="T54" s="477"/>
      <c r="U54" s="477"/>
      <c r="V54" s="477"/>
      <c r="W54" s="477"/>
      <c r="X54" s="477"/>
      <c r="Y54" s="477"/>
      <c r="Z54" s="477"/>
      <c r="AA54" s="478"/>
      <c r="AB54" s="478"/>
      <c r="AC54" s="477"/>
      <c r="AD54" s="477"/>
      <c r="AE54" s="477"/>
      <c r="AF54" s="478"/>
      <c r="AG54" s="477"/>
      <c r="AH54" s="477"/>
      <c r="AI54" s="477"/>
      <c r="AJ54" s="478"/>
      <c r="AK54" s="478"/>
      <c r="AL54" s="478"/>
      <c r="AM54" s="477"/>
      <c r="AN54" s="486"/>
      <c r="AO54" s="489"/>
      <c r="AP54" s="484"/>
      <c r="AQ54" s="477"/>
      <c r="AR54" s="477"/>
      <c r="AS54" s="477"/>
      <c r="AT54" s="477"/>
      <c r="AU54" s="477"/>
      <c r="AV54" s="477"/>
      <c r="AW54" s="477"/>
      <c r="AX54" s="477"/>
      <c r="AY54" s="478"/>
      <c r="AZ54" s="477"/>
      <c r="BA54" s="477"/>
      <c r="BB54" s="477"/>
      <c r="BC54" s="477"/>
      <c r="BD54" s="477"/>
      <c r="BE54" s="477"/>
      <c r="BF54" s="477"/>
      <c r="BG54" s="477"/>
      <c r="BH54" s="478"/>
      <c r="BI54" s="477"/>
      <c r="BJ54" s="477"/>
      <c r="BK54" s="477"/>
      <c r="BL54" s="478"/>
      <c r="BM54" s="478"/>
      <c r="BN54" s="478"/>
      <c r="BO54" s="477"/>
      <c r="BP54" s="477"/>
    </row>
    <row r="55" spans="2:68" ht="14.25" hidden="1" customHeight="1">
      <c r="B55" s="478"/>
      <c r="C55" s="477"/>
      <c r="D55" s="477"/>
      <c r="E55" s="477"/>
      <c r="F55" s="477"/>
      <c r="G55" s="477"/>
      <c r="H55" s="477"/>
      <c r="I55" s="480"/>
      <c r="J55" s="480"/>
      <c r="K55" s="480"/>
      <c r="L55" s="477"/>
      <c r="M55" s="477"/>
      <c r="N55" s="477"/>
      <c r="O55" s="477"/>
      <c r="P55" s="477"/>
      <c r="Q55" s="477"/>
      <c r="R55" s="477"/>
      <c r="S55" s="477"/>
      <c r="T55" s="477"/>
      <c r="U55" s="477"/>
      <c r="V55" s="477"/>
      <c r="W55" s="477"/>
      <c r="X55" s="477"/>
      <c r="Y55" s="477"/>
      <c r="Z55" s="477"/>
      <c r="AA55" s="478"/>
      <c r="AB55" s="478"/>
      <c r="AC55" s="477"/>
      <c r="AD55" s="477"/>
      <c r="AE55" s="477"/>
      <c r="AF55" s="478"/>
      <c r="AG55" s="477"/>
      <c r="AH55" s="477"/>
      <c r="AI55" s="477"/>
      <c r="AJ55" s="478"/>
      <c r="AK55" s="478"/>
      <c r="AL55" s="478"/>
      <c r="AM55" s="477"/>
      <c r="AN55" s="486"/>
      <c r="AO55" s="489"/>
      <c r="AP55" s="484"/>
      <c r="AQ55" s="477"/>
      <c r="AR55" s="477"/>
      <c r="AS55" s="477"/>
      <c r="AT55" s="477"/>
      <c r="AU55" s="477"/>
      <c r="AV55" s="477"/>
      <c r="AW55" s="477"/>
      <c r="AX55" s="477"/>
      <c r="AY55" s="478"/>
      <c r="AZ55" s="477"/>
      <c r="BA55" s="477"/>
      <c r="BB55" s="477"/>
      <c r="BC55" s="477"/>
      <c r="BD55" s="477"/>
      <c r="BE55" s="477"/>
      <c r="BF55" s="477"/>
      <c r="BG55" s="477"/>
      <c r="BH55" s="478"/>
      <c r="BI55" s="477"/>
      <c r="BJ55" s="477"/>
      <c r="BK55" s="477"/>
      <c r="BL55" s="478"/>
      <c r="BM55" s="478"/>
      <c r="BN55" s="478"/>
      <c r="BO55" s="477"/>
      <c r="BP55" s="477"/>
    </row>
    <row r="56" spans="2:68" ht="14.25" hidden="1" customHeight="1">
      <c r="B56" s="478"/>
      <c r="C56" s="477"/>
      <c r="D56" s="477"/>
      <c r="E56" s="477"/>
      <c r="F56" s="477"/>
      <c r="G56" s="477"/>
      <c r="H56" s="477"/>
      <c r="I56" s="480"/>
      <c r="J56" s="480"/>
      <c r="K56" s="480"/>
      <c r="L56" s="477"/>
      <c r="M56" s="477"/>
      <c r="N56" s="477"/>
      <c r="O56" s="477"/>
      <c r="P56" s="477"/>
      <c r="Q56" s="477"/>
      <c r="R56" s="477"/>
      <c r="S56" s="477"/>
      <c r="T56" s="477"/>
      <c r="U56" s="477"/>
      <c r="V56" s="477"/>
      <c r="W56" s="477"/>
      <c r="X56" s="477"/>
      <c r="Y56" s="477"/>
      <c r="Z56" s="477"/>
      <c r="AA56" s="478"/>
      <c r="AB56" s="478"/>
      <c r="AC56" s="477"/>
      <c r="AD56" s="477"/>
      <c r="AE56" s="477"/>
      <c r="AF56" s="478"/>
      <c r="AG56" s="477"/>
      <c r="AH56" s="477"/>
      <c r="AI56" s="477"/>
      <c r="AJ56" s="478"/>
      <c r="AK56" s="478"/>
      <c r="AL56" s="478"/>
      <c r="AM56" s="477"/>
      <c r="AN56" s="486"/>
      <c r="AO56" s="489"/>
      <c r="AP56" s="484"/>
      <c r="AQ56" s="477"/>
      <c r="AR56" s="477"/>
      <c r="AS56" s="477"/>
      <c r="AT56" s="477"/>
      <c r="AU56" s="477"/>
      <c r="AV56" s="477"/>
      <c r="AW56" s="477"/>
      <c r="AX56" s="477"/>
      <c r="AY56" s="478"/>
      <c r="AZ56" s="477"/>
      <c r="BA56" s="477"/>
      <c r="BB56" s="477"/>
      <c r="BC56" s="477"/>
      <c r="BD56" s="477"/>
      <c r="BE56" s="477"/>
      <c r="BF56" s="477"/>
      <c r="BG56" s="477"/>
      <c r="BH56" s="478"/>
      <c r="BI56" s="477"/>
      <c r="BJ56" s="477"/>
      <c r="BK56" s="477"/>
      <c r="BL56" s="478"/>
      <c r="BM56" s="478"/>
      <c r="BN56" s="478"/>
      <c r="BO56" s="477"/>
      <c r="BP56" s="477"/>
    </row>
    <row r="57" spans="2:68" ht="14.25" hidden="1" customHeight="1">
      <c r="B57" s="478"/>
      <c r="C57" s="477"/>
      <c r="D57" s="477"/>
      <c r="E57" s="477"/>
      <c r="F57" s="477"/>
      <c r="G57" s="477"/>
      <c r="H57" s="477"/>
      <c r="I57" s="480"/>
      <c r="J57" s="480"/>
      <c r="K57" s="480"/>
      <c r="L57" s="477"/>
      <c r="M57" s="477"/>
      <c r="N57" s="477"/>
      <c r="O57" s="477"/>
      <c r="P57" s="477"/>
      <c r="Q57" s="477"/>
      <c r="R57" s="477"/>
      <c r="S57" s="477"/>
      <c r="T57" s="477"/>
      <c r="U57" s="477"/>
      <c r="V57" s="477"/>
      <c r="W57" s="477"/>
      <c r="X57" s="477"/>
      <c r="Y57" s="477"/>
      <c r="Z57" s="477"/>
      <c r="AA57" s="478"/>
      <c r="AB57" s="478"/>
      <c r="AC57" s="477"/>
      <c r="AD57" s="477"/>
      <c r="AE57" s="477"/>
      <c r="AF57" s="478"/>
      <c r="AG57" s="477"/>
      <c r="AH57" s="477"/>
      <c r="AI57" s="477"/>
      <c r="AJ57" s="478"/>
      <c r="AK57" s="478"/>
      <c r="AL57" s="478"/>
      <c r="AM57" s="477"/>
      <c r="AN57" s="486"/>
      <c r="AO57" s="489"/>
      <c r="AP57" s="484"/>
      <c r="AQ57" s="477"/>
      <c r="AR57" s="477"/>
      <c r="AS57" s="477"/>
      <c r="AT57" s="477"/>
      <c r="AU57" s="477"/>
      <c r="AV57" s="477"/>
      <c r="AW57" s="477"/>
      <c r="AX57" s="477"/>
      <c r="AY57" s="478"/>
      <c r="AZ57" s="477"/>
      <c r="BA57" s="477"/>
      <c r="BB57" s="477"/>
      <c r="BC57" s="477"/>
      <c r="BD57" s="477"/>
      <c r="BE57" s="477"/>
      <c r="BF57" s="477"/>
      <c r="BG57" s="477"/>
      <c r="BH57" s="478"/>
      <c r="BI57" s="477"/>
      <c r="BJ57" s="477"/>
      <c r="BK57" s="477"/>
      <c r="BL57" s="478"/>
      <c r="BM57" s="478"/>
      <c r="BN57" s="478"/>
      <c r="BO57" s="477"/>
      <c r="BP57" s="477"/>
    </row>
    <row r="58" spans="2:68" ht="14.25" hidden="1" customHeight="1">
      <c r="B58" s="478"/>
      <c r="C58" s="477"/>
      <c r="D58" s="477"/>
      <c r="E58" s="477"/>
      <c r="F58" s="477"/>
      <c r="G58" s="477"/>
      <c r="H58" s="477"/>
      <c r="I58" s="480"/>
      <c r="J58" s="480"/>
      <c r="K58" s="480"/>
      <c r="L58" s="477"/>
      <c r="M58" s="477"/>
      <c r="N58" s="477"/>
      <c r="O58" s="477"/>
      <c r="P58" s="477"/>
      <c r="Q58" s="477"/>
      <c r="R58" s="477"/>
      <c r="S58" s="477"/>
      <c r="T58" s="477"/>
      <c r="U58" s="477"/>
      <c r="V58" s="477"/>
      <c r="W58" s="477"/>
      <c r="X58" s="477"/>
      <c r="Y58" s="477"/>
      <c r="Z58" s="477"/>
      <c r="AA58" s="478"/>
      <c r="AB58" s="478"/>
      <c r="AC58" s="477"/>
      <c r="AD58" s="477"/>
      <c r="AE58" s="477"/>
      <c r="AF58" s="478"/>
      <c r="AG58" s="477"/>
      <c r="AH58" s="477"/>
      <c r="AI58" s="477"/>
      <c r="AJ58" s="478"/>
      <c r="AK58" s="478"/>
      <c r="AL58" s="478"/>
      <c r="AM58" s="477"/>
      <c r="AN58" s="486"/>
      <c r="AO58" s="489"/>
      <c r="AP58" s="484"/>
      <c r="AQ58" s="477"/>
      <c r="AR58" s="477"/>
      <c r="AS58" s="477"/>
      <c r="AT58" s="477"/>
      <c r="AU58" s="477"/>
      <c r="AV58" s="477"/>
      <c r="AW58" s="477"/>
      <c r="AX58" s="477"/>
      <c r="AY58" s="478"/>
      <c r="AZ58" s="477"/>
      <c r="BA58" s="477"/>
      <c r="BB58" s="477"/>
      <c r="BC58" s="477"/>
      <c r="BD58" s="477"/>
      <c r="BE58" s="477"/>
      <c r="BF58" s="477"/>
      <c r="BG58" s="477"/>
      <c r="BH58" s="478"/>
      <c r="BI58" s="477"/>
      <c r="BJ58" s="477"/>
      <c r="BK58" s="477"/>
      <c r="BL58" s="478"/>
      <c r="BM58" s="478"/>
      <c r="BN58" s="478"/>
      <c r="BO58" s="477"/>
      <c r="BP58" s="477"/>
    </row>
    <row r="59" spans="2:68" ht="14.25" hidden="1" customHeight="1">
      <c r="B59" s="478"/>
      <c r="C59" s="477"/>
      <c r="D59" s="477"/>
      <c r="E59" s="477"/>
      <c r="F59" s="477"/>
      <c r="G59" s="477"/>
      <c r="H59" s="477"/>
      <c r="I59" s="480"/>
      <c r="J59" s="480"/>
      <c r="K59" s="480"/>
      <c r="L59" s="477"/>
      <c r="M59" s="477"/>
      <c r="N59" s="477"/>
      <c r="O59" s="477"/>
      <c r="P59" s="477"/>
      <c r="Q59" s="477"/>
      <c r="R59" s="477"/>
      <c r="S59" s="477"/>
      <c r="T59" s="477"/>
      <c r="U59" s="477"/>
      <c r="V59" s="477"/>
      <c r="W59" s="477"/>
      <c r="X59" s="477"/>
      <c r="Y59" s="477"/>
      <c r="Z59" s="477"/>
      <c r="AA59" s="478"/>
      <c r="AB59" s="478"/>
      <c r="AC59" s="477"/>
      <c r="AD59" s="477"/>
      <c r="AE59" s="477"/>
      <c r="AF59" s="478"/>
      <c r="AG59" s="477"/>
      <c r="AH59" s="477"/>
      <c r="AI59" s="477"/>
      <c r="AJ59" s="478"/>
      <c r="AK59" s="478"/>
      <c r="AL59" s="478"/>
      <c r="AM59" s="477"/>
      <c r="AN59" s="486"/>
      <c r="AO59" s="489"/>
      <c r="AP59" s="484"/>
      <c r="AQ59" s="477"/>
      <c r="AR59" s="477"/>
      <c r="AS59" s="477"/>
      <c r="AT59" s="477"/>
      <c r="AU59" s="477"/>
      <c r="AV59" s="477"/>
      <c r="AW59" s="477"/>
      <c r="AX59" s="477"/>
      <c r="AY59" s="478"/>
      <c r="AZ59" s="477"/>
      <c r="BA59" s="477"/>
      <c r="BB59" s="477"/>
      <c r="BC59" s="477"/>
      <c r="BD59" s="477"/>
      <c r="BE59" s="477"/>
      <c r="BF59" s="477"/>
      <c r="BG59" s="477"/>
      <c r="BH59" s="478"/>
      <c r="BI59" s="477"/>
      <c r="BJ59" s="477"/>
      <c r="BK59" s="477"/>
      <c r="BL59" s="478"/>
      <c r="BM59" s="478"/>
      <c r="BN59" s="478"/>
      <c r="BO59" s="477"/>
      <c r="BP59" s="477"/>
    </row>
    <row r="60" spans="2:68" ht="14.25" hidden="1" customHeight="1">
      <c r="B60" s="478"/>
      <c r="C60" s="477"/>
      <c r="D60" s="477"/>
      <c r="E60" s="477"/>
      <c r="F60" s="477"/>
      <c r="G60" s="477"/>
      <c r="H60" s="477"/>
      <c r="I60" s="480"/>
      <c r="J60" s="480"/>
      <c r="K60" s="480"/>
      <c r="L60" s="477"/>
      <c r="M60" s="477"/>
      <c r="N60" s="477"/>
      <c r="O60" s="477"/>
      <c r="P60" s="477"/>
      <c r="Q60" s="477"/>
      <c r="R60" s="477"/>
      <c r="S60" s="477"/>
      <c r="T60" s="477"/>
      <c r="U60" s="477"/>
      <c r="V60" s="477"/>
      <c r="W60" s="477"/>
      <c r="X60" s="477"/>
      <c r="Y60" s="477"/>
      <c r="Z60" s="477"/>
      <c r="AA60" s="478"/>
      <c r="AB60" s="478"/>
      <c r="AC60" s="477"/>
      <c r="AD60" s="477"/>
      <c r="AE60" s="477"/>
      <c r="AF60" s="478"/>
      <c r="AG60" s="477"/>
      <c r="AH60" s="477"/>
      <c r="AI60" s="477"/>
      <c r="AJ60" s="478"/>
      <c r="AK60" s="478"/>
      <c r="AL60" s="478"/>
      <c r="AM60" s="477"/>
      <c r="AN60" s="486"/>
      <c r="AO60" s="489"/>
      <c r="AP60" s="484"/>
      <c r="AQ60" s="477"/>
      <c r="AR60" s="477"/>
      <c r="AS60" s="477"/>
      <c r="AT60" s="477"/>
      <c r="AU60" s="477"/>
      <c r="AV60" s="477"/>
      <c r="AW60" s="477"/>
      <c r="AX60" s="477"/>
      <c r="AY60" s="478"/>
      <c r="AZ60" s="477"/>
      <c r="BA60" s="477"/>
      <c r="BB60" s="477"/>
      <c r="BC60" s="477"/>
      <c r="BD60" s="477"/>
      <c r="BE60" s="477"/>
      <c r="BF60" s="477"/>
      <c r="BG60" s="477"/>
      <c r="BH60" s="478"/>
      <c r="BI60" s="477"/>
      <c r="BJ60" s="477"/>
      <c r="BK60" s="477"/>
      <c r="BL60" s="478"/>
      <c r="BM60" s="478"/>
      <c r="BN60" s="478"/>
      <c r="BO60" s="477"/>
      <c r="BP60" s="477"/>
    </row>
    <row r="61" spans="2:68" ht="14.25" hidden="1" customHeight="1">
      <c r="B61" s="478"/>
      <c r="C61" s="477"/>
      <c r="D61" s="477"/>
      <c r="E61" s="477"/>
      <c r="F61" s="477"/>
      <c r="G61" s="477"/>
      <c r="H61" s="477"/>
      <c r="I61" s="480"/>
      <c r="J61" s="480"/>
      <c r="K61" s="480"/>
      <c r="L61" s="477"/>
      <c r="M61" s="477"/>
      <c r="N61" s="477"/>
      <c r="O61" s="477"/>
      <c r="P61" s="477"/>
      <c r="Q61" s="477"/>
      <c r="R61" s="477"/>
      <c r="S61" s="477"/>
      <c r="T61" s="477"/>
      <c r="U61" s="477"/>
      <c r="V61" s="477"/>
      <c r="W61" s="477"/>
      <c r="X61" s="477"/>
      <c r="Y61" s="477"/>
      <c r="Z61" s="477"/>
      <c r="AA61" s="478"/>
      <c r="AB61" s="478"/>
      <c r="AC61" s="477"/>
      <c r="AD61" s="477"/>
      <c r="AE61" s="477"/>
      <c r="AF61" s="478"/>
      <c r="AG61" s="477"/>
      <c r="AH61" s="477"/>
      <c r="AI61" s="477"/>
      <c r="AJ61" s="478"/>
      <c r="AK61" s="478"/>
      <c r="AL61" s="478"/>
      <c r="AM61" s="477"/>
      <c r="AN61" s="486"/>
      <c r="AO61" s="489"/>
      <c r="AP61" s="484"/>
      <c r="AQ61" s="477"/>
      <c r="AR61" s="477"/>
      <c r="AS61" s="477"/>
      <c r="AT61" s="477"/>
      <c r="AU61" s="477"/>
      <c r="AV61" s="477"/>
      <c r="AW61" s="477"/>
      <c r="AX61" s="477"/>
      <c r="AY61" s="478"/>
      <c r="AZ61" s="477"/>
      <c r="BA61" s="477"/>
      <c r="BB61" s="477"/>
      <c r="BC61" s="477"/>
      <c r="BD61" s="477"/>
      <c r="BE61" s="477"/>
      <c r="BF61" s="477"/>
      <c r="BG61" s="477"/>
      <c r="BH61" s="478"/>
      <c r="BI61" s="477"/>
      <c r="BJ61" s="477"/>
      <c r="BK61" s="477"/>
      <c r="BL61" s="478"/>
      <c r="BM61" s="478"/>
      <c r="BN61" s="478"/>
      <c r="BO61" s="477"/>
      <c r="BP61" s="477"/>
    </row>
    <row r="62" spans="2:68" ht="14.25" hidden="1" customHeight="1">
      <c r="B62" s="478"/>
      <c r="C62" s="477"/>
      <c r="D62" s="477"/>
      <c r="E62" s="477"/>
      <c r="F62" s="477"/>
      <c r="G62" s="477"/>
      <c r="H62" s="477"/>
      <c r="I62" s="480"/>
      <c r="J62" s="480"/>
      <c r="K62" s="480"/>
      <c r="L62" s="477"/>
      <c r="M62" s="477"/>
      <c r="N62" s="477"/>
      <c r="O62" s="477"/>
      <c r="P62" s="477"/>
      <c r="Q62" s="477"/>
      <c r="R62" s="477"/>
      <c r="S62" s="477"/>
      <c r="T62" s="477"/>
      <c r="U62" s="477"/>
      <c r="V62" s="477"/>
      <c r="W62" s="477"/>
      <c r="X62" s="477"/>
      <c r="Y62" s="477"/>
      <c r="Z62" s="477"/>
      <c r="AA62" s="478"/>
      <c r="AB62" s="478"/>
      <c r="AC62" s="477"/>
      <c r="AD62" s="477"/>
      <c r="AE62" s="477"/>
      <c r="AF62" s="478"/>
      <c r="AG62" s="477"/>
      <c r="AH62" s="477"/>
      <c r="AI62" s="477"/>
      <c r="AJ62" s="478"/>
      <c r="AK62" s="478"/>
      <c r="AL62" s="478"/>
      <c r="AM62" s="477"/>
      <c r="AN62" s="486"/>
      <c r="AO62" s="489"/>
      <c r="AP62" s="484"/>
      <c r="AQ62" s="477"/>
      <c r="AR62" s="477"/>
      <c r="AS62" s="477"/>
      <c r="AT62" s="477"/>
      <c r="AU62" s="477"/>
      <c r="AV62" s="477"/>
      <c r="AW62" s="477"/>
      <c r="AX62" s="477"/>
      <c r="AY62" s="478"/>
      <c r="AZ62" s="477"/>
      <c r="BA62" s="477"/>
      <c r="BB62" s="477"/>
      <c r="BC62" s="477"/>
      <c r="BD62" s="477"/>
      <c r="BE62" s="477"/>
      <c r="BF62" s="477"/>
      <c r="BG62" s="477"/>
      <c r="BH62" s="478"/>
      <c r="BI62" s="477"/>
      <c r="BJ62" s="477"/>
      <c r="BK62" s="477"/>
      <c r="BL62" s="478"/>
      <c r="BM62" s="478"/>
      <c r="BN62" s="478"/>
      <c r="BO62" s="477"/>
      <c r="BP62" s="477"/>
    </row>
    <row r="63" spans="2:68" ht="14.25" hidden="1" customHeight="1">
      <c r="B63" s="478"/>
      <c r="C63" s="477"/>
      <c r="D63" s="477"/>
      <c r="E63" s="477"/>
      <c r="F63" s="477"/>
      <c r="G63" s="477"/>
      <c r="H63" s="477"/>
      <c r="I63" s="480"/>
      <c r="J63" s="480"/>
      <c r="K63" s="480"/>
      <c r="L63" s="477"/>
      <c r="M63" s="477"/>
      <c r="N63" s="477"/>
      <c r="O63" s="477"/>
      <c r="P63" s="477"/>
      <c r="Q63" s="477"/>
      <c r="R63" s="477"/>
      <c r="S63" s="477"/>
      <c r="T63" s="477"/>
      <c r="U63" s="477"/>
      <c r="V63" s="477"/>
      <c r="W63" s="477"/>
      <c r="X63" s="477"/>
      <c r="Y63" s="477"/>
      <c r="Z63" s="477"/>
      <c r="AA63" s="478"/>
      <c r="AB63" s="478"/>
      <c r="AC63" s="477"/>
      <c r="AD63" s="477"/>
      <c r="AE63" s="477"/>
      <c r="AF63" s="478"/>
      <c r="AG63" s="477"/>
      <c r="AH63" s="477"/>
      <c r="AI63" s="477"/>
      <c r="AJ63" s="478"/>
      <c r="AK63" s="478"/>
      <c r="AL63" s="478"/>
      <c r="AM63" s="477"/>
      <c r="AN63" s="486"/>
      <c r="AO63" s="489"/>
      <c r="AP63" s="484"/>
      <c r="AQ63" s="477"/>
      <c r="AR63" s="477"/>
      <c r="AS63" s="477"/>
      <c r="AT63" s="477"/>
      <c r="AU63" s="477"/>
      <c r="AV63" s="477"/>
      <c r="AW63" s="477"/>
      <c r="AX63" s="477"/>
      <c r="AY63" s="478"/>
      <c r="AZ63" s="477"/>
      <c r="BA63" s="477"/>
      <c r="BB63" s="477"/>
      <c r="BC63" s="477"/>
      <c r="BD63" s="477"/>
      <c r="BE63" s="477"/>
      <c r="BF63" s="477"/>
      <c r="BG63" s="477"/>
      <c r="BH63" s="478"/>
      <c r="BI63" s="477"/>
      <c r="BJ63" s="477"/>
      <c r="BK63" s="477"/>
      <c r="BL63" s="478"/>
      <c r="BM63" s="478"/>
      <c r="BN63" s="478"/>
      <c r="BO63" s="477"/>
      <c r="BP63" s="477"/>
    </row>
    <row r="64" spans="2:68" ht="14.25" hidden="1" customHeight="1">
      <c r="B64" s="478"/>
      <c r="C64" s="477"/>
      <c r="D64" s="477"/>
      <c r="E64" s="477"/>
      <c r="F64" s="477"/>
      <c r="G64" s="477"/>
      <c r="H64" s="477"/>
      <c r="I64" s="480"/>
      <c r="J64" s="480"/>
      <c r="K64" s="480"/>
      <c r="L64" s="477"/>
      <c r="M64" s="477"/>
      <c r="N64" s="477"/>
      <c r="O64" s="477"/>
      <c r="P64" s="477"/>
      <c r="Q64" s="477"/>
      <c r="R64" s="477"/>
      <c r="S64" s="477"/>
      <c r="T64" s="477"/>
      <c r="U64" s="477"/>
      <c r="V64" s="477"/>
      <c r="W64" s="477"/>
      <c r="X64" s="477"/>
      <c r="Y64" s="477"/>
      <c r="Z64" s="477"/>
      <c r="AA64" s="478"/>
      <c r="AB64" s="478"/>
      <c r="AC64" s="477"/>
      <c r="AD64" s="477"/>
      <c r="AE64" s="477"/>
      <c r="AF64" s="478"/>
      <c r="AG64" s="477"/>
      <c r="AH64" s="477"/>
      <c r="AI64" s="477"/>
      <c r="AJ64" s="478"/>
      <c r="AK64" s="478"/>
      <c r="AL64" s="478"/>
      <c r="AM64" s="477"/>
      <c r="AN64" s="486"/>
      <c r="AO64" s="489"/>
      <c r="AP64" s="484"/>
      <c r="AQ64" s="477"/>
      <c r="AR64" s="477"/>
      <c r="AS64" s="477"/>
      <c r="AT64" s="477"/>
      <c r="AU64" s="477"/>
      <c r="AV64" s="477"/>
      <c r="AW64" s="477"/>
      <c r="AX64" s="477"/>
      <c r="AY64" s="478"/>
      <c r="AZ64" s="477"/>
      <c r="BA64" s="477"/>
      <c r="BB64" s="477"/>
      <c r="BC64" s="477"/>
      <c r="BD64" s="477"/>
      <c r="BE64" s="477"/>
      <c r="BF64" s="477"/>
      <c r="BG64" s="477"/>
      <c r="BH64" s="478"/>
      <c r="BI64" s="477"/>
      <c r="BJ64" s="477"/>
      <c r="BK64" s="477"/>
      <c r="BL64" s="478"/>
      <c r="BM64" s="478"/>
      <c r="BN64" s="478"/>
      <c r="BO64" s="477"/>
      <c r="BP64" s="477"/>
    </row>
    <row r="65" spans="2:68" ht="14.25" hidden="1" customHeight="1">
      <c r="B65" s="478"/>
      <c r="C65" s="477"/>
      <c r="D65" s="477"/>
      <c r="E65" s="477"/>
      <c r="F65" s="477"/>
      <c r="G65" s="477"/>
      <c r="H65" s="477"/>
      <c r="I65" s="480"/>
      <c r="J65" s="480"/>
      <c r="K65" s="480"/>
      <c r="L65" s="477"/>
      <c r="M65" s="477"/>
      <c r="N65" s="477"/>
      <c r="O65" s="477"/>
      <c r="P65" s="477"/>
      <c r="Q65" s="477"/>
      <c r="R65" s="477"/>
      <c r="S65" s="477"/>
      <c r="T65" s="477"/>
      <c r="U65" s="477"/>
      <c r="V65" s="477"/>
      <c r="W65" s="477"/>
      <c r="X65" s="477"/>
      <c r="Y65" s="477"/>
      <c r="Z65" s="477"/>
      <c r="AA65" s="478"/>
      <c r="AB65" s="478"/>
      <c r="AC65" s="477"/>
      <c r="AD65" s="477"/>
      <c r="AE65" s="477"/>
      <c r="AF65" s="478"/>
      <c r="AG65" s="477"/>
      <c r="AH65" s="477"/>
      <c r="AI65" s="477"/>
      <c r="AJ65" s="478"/>
      <c r="AK65" s="478"/>
      <c r="AL65" s="478"/>
      <c r="AM65" s="477"/>
      <c r="AN65" s="486"/>
      <c r="AO65" s="489"/>
      <c r="AP65" s="484"/>
      <c r="AQ65" s="477"/>
      <c r="AR65" s="477"/>
      <c r="AS65" s="477"/>
      <c r="AT65" s="477"/>
      <c r="AU65" s="477"/>
      <c r="AV65" s="477"/>
      <c r="AW65" s="477"/>
      <c r="AX65" s="477"/>
      <c r="AY65" s="478"/>
      <c r="AZ65" s="477"/>
      <c r="BA65" s="477"/>
      <c r="BB65" s="477"/>
      <c r="BC65" s="477"/>
      <c r="BD65" s="477"/>
      <c r="BE65" s="477"/>
      <c r="BF65" s="477"/>
      <c r="BG65" s="477"/>
      <c r="BH65" s="478"/>
      <c r="BI65" s="477"/>
      <c r="BJ65" s="477"/>
      <c r="BK65" s="477"/>
      <c r="BL65" s="478"/>
      <c r="BM65" s="478"/>
      <c r="BN65" s="478"/>
      <c r="BO65" s="477"/>
      <c r="BP65" s="477"/>
    </row>
    <row r="66" spans="2:68" ht="14.25" hidden="1" customHeight="1">
      <c r="B66" s="478"/>
      <c r="C66" s="477"/>
      <c r="D66" s="477"/>
      <c r="E66" s="477"/>
      <c r="F66" s="477"/>
      <c r="G66" s="477"/>
      <c r="H66" s="477"/>
      <c r="I66" s="480"/>
      <c r="J66" s="480"/>
      <c r="K66" s="480"/>
      <c r="L66" s="477"/>
      <c r="M66" s="477"/>
      <c r="N66" s="477"/>
      <c r="O66" s="477"/>
      <c r="P66" s="477"/>
      <c r="Q66" s="477"/>
      <c r="R66" s="477"/>
      <c r="S66" s="477"/>
      <c r="T66" s="477"/>
      <c r="U66" s="477"/>
      <c r="V66" s="477"/>
      <c r="W66" s="477"/>
      <c r="X66" s="477"/>
      <c r="Y66" s="477"/>
      <c r="Z66" s="477"/>
      <c r="AA66" s="478"/>
      <c r="AB66" s="478"/>
      <c r="AC66" s="477"/>
      <c r="AD66" s="477"/>
      <c r="AE66" s="477"/>
      <c r="AF66" s="478"/>
      <c r="AG66" s="477"/>
      <c r="AH66" s="477"/>
      <c r="AI66" s="477"/>
      <c r="AJ66" s="478"/>
      <c r="AK66" s="478"/>
      <c r="AL66" s="478"/>
      <c r="AM66" s="477"/>
      <c r="AN66" s="486"/>
      <c r="AO66" s="489"/>
      <c r="AP66" s="484"/>
      <c r="AQ66" s="477"/>
      <c r="AR66" s="477"/>
      <c r="AS66" s="477"/>
      <c r="AT66" s="477"/>
      <c r="AU66" s="477"/>
      <c r="AV66" s="477"/>
      <c r="AW66" s="477"/>
      <c r="AX66" s="477"/>
      <c r="AY66" s="478"/>
      <c r="AZ66" s="477"/>
      <c r="BA66" s="477"/>
      <c r="BB66" s="477"/>
      <c r="BC66" s="477"/>
      <c r="BD66" s="477"/>
      <c r="BE66" s="477"/>
      <c r="BF66" s="477"/>
      <c r="BG66" s="477"/>
      <c r="BH66" s="478"/>
      <c r="BI66" s="477"/>
      <c r="BJ66" s="477"/>
      <c r="BK66" s="477"/>
      <c r="BL66" s="478"/>
      <c r="BM66" s="478"/>
      <c r="BN66" s="478"/>
      <c r="BO66" s="477"/>
      <c r="BP66" s="477"/>
    </row>
    <row r="67" spans="2:68" ht="14.25" hidden="1" customHeight="1">
      <c r="B67" s="478"/>
      <c r="C67" s="477"/>
      <c r="D67" s="477"/>
      <c r="E67" s="477"/>
      <c r="F67" s="477"/>
      <c r="G67" s="477"/>
      <c r="H67" s="477"/>
      <c r="I67" s="480"/>
      <c r="J67" s="480"/>
      <c r="K67" s="480"/>
      <c r="L67" s="477"/>
      <c r="M67" s="477"/>
      <c r="N67" s="477"/>
      <c r="O67" s="477"/>
      <c r="P67" s="477"/>
      <c r="Q67" s="477"/>
      <c r="R67" s="477"/>
      <c r="S67" s="477"/>
      <c r="T67" s="477"/>
      <c r="U67" s="477"/>
      <c r="V67" s="477"/>
      <c r="W67" s="477"/>
      <c r="X67" s="477"/>
      <c r="Y67" s="477"/>
      <c r="Z67" s="477"/>
      <c r="AA67" s="478"/>
      <c r="AB67" s="478"/>
      <c r="AC67" s="477"/>
      <c r="AD67" s="477"/>
      <c r="AE67" s="477"/>
      <c r="AF67" s="478"/>
      <c r="AG67" s="477"/>
      <c r="AH67" s="477"/>
      <c r="AI67" s="477"/>
      <c r="AJ67" s="478"/>
      <c r="AK67" s="478"/>
      <c r="AL67" s="478"/>
      <c r="AM67" s="477"/>
      <c r="AN67" s="486"/>
      <c r="AO67" s="489"/>
      <c r="AP67" s="484"/>
      <c r="AQ67" s="477"/>
      <c r="AR67" s="477"/>
      <c r="AS67" s="477"/>
      <c r="AT67" s="477"/>
      <c r="AU67" s="477"/>
      <c r="AV67" s="477"/>
      <c r="AW67" s="477"/>
      <c r="AX67" s="477"/>
      <c r="AY67" s="478"/>
      <c r="AZ67" s="477"/>
      <c r="BA67" s="477"/>
      <c r="BB67" s="477"/>
      <c r="BC67" s="477"/>
      <c r="BD67" s="477"/>
      <c r="BE67" s="477"/>
      <c r="BF67" s="477"/>
      <c r="BG67" s="477"/>
      <c r="BH67" s="478"/>
      <c r="BI67" s="477"/>
      <c r="BJ67" s="477"/>
      <c r="BK67" s="477"/>
      <c r="BL67" s="478"/>
      <c r="BM67" s="478"/>
      <c r="BN67" s="478"/>
      <c r="BO67" s="477"/>
      <c r="BP67" s="477"/>
    </row>
    <row r="68" spans="2:68" ht="14.25" hidden="1" customHeight="1">
      <c r="B68" s="478"/>
      <c r="C68" s="477"/>
      <c r="D68" s="477"/>
      <c r="E68" s="477"/>
      <c r="F68" s="477"/>
      <c r="G68" s="477"/>
      <c r="H68" s="477"/>
      <c r="I68" s="480"/>
      <c r="J68" s="480"/>
      <c r="K68" s="480"/>
      <c r="L68" s="477"/>
      <c r="M68" s="477"/>
      <c r="N68" s="477"/>
      <c r="O68" s="477"/>
      <c r="P68" s="477"/>
      <c r="Q68" s="477"/>
      <c r="R68" s="477"/>
      <c r="S68" s="477"/>
      <c r="T68" s="477"/>
      <c r="U68" s="477"/>
      <c r="V68" s="477"/>
      <c r="W68" s="477"/>
      <c r="X68" s="477"/>
      <c r="Y68" s="477"/>
      <c r="Z68" s="477"/>
      <c r="AA68" s="478"/>
      <c r="AB68" s="478"/>
      <c r="AC68" s="477"/>
      <c r="AD68" s="477"/>
      <c r="AE68" s="477"/>
      <c r="AF68" s="478"/>
      <c r="AG68" s="477"/>
      <c r="AH68" s="477"/>
      <c r="AI68" s="477"/>
      <c r="AJ68" s="478"/>
      <c r="AK68" s="478"/>
      <c r="AL68" s="478"/>
      <c r="AM68" s="477"/>
      <c r="AN68" s="486"/>
      <c r="AO68" s="489"/>
      <c r="AP68" s="484"/>
      <c r="AQ68" s="477"/>
      <c r="AR68" s="477"/>
      <c r="AS68" s="477"/>
      <c r="AT68" s="477"/>
      <c r="AU68" s="477"/>
      <c r="AV68" s="477"/>
      <c r="AW68" s="477"/>
      <c r="AX68" s="477"/>
      <c r="AY68" s="478"/>
      <c r="AZ68" s="477"/>
      <c r="BA68" s="477"/>
      <c r="BB68" s="477"/>
      <c r="BC68" s="477"/>
      <c r="BD68" s="477"/>
      <c r="BE68" s="477"/>
      <c r="BF68" s="477"/>
      <c r="BG68" s="477"/>
      <c r="BH68" s="478"/>
      <c r="BI68" s="477"/>
      <c r="BJ68" s="477"/>
      <c r="BK68" s="477"/>
      <c r="BL68" s="478"/>
      <c r="BM68" s="478"/>
      <c r="BN68" s="478"/>
      <c r="BO68" s="477"/>
      <c r="BP68" s="477"/>
    </row>
    <row r="69" spans="2:68" ht="14.25" hidden="1" customHeight="1">
      <c r="B69" s="478"/>
      <c r="C69" s="477"/>
      <c r="D69" s="477"/>
      <c r="E69" s="477"/>
      <c r="F69" s="477"/>
      <c r="G69" s="477"/>
      <c r="H69" s="477"/>
      <c r="I69" s="480"/>
      <c r="J69" s="480"/>
      <c r="K69" s="480"/>
      <c r="L69" s="477"/>
      <c r="M69" s="477"/>
      <c r="N69" s="477"/>
      <c r="O69" s="477"/>
      <c r="P69" s="477"/>
      <c r="Q69" s="477"/>
      <c r="R69" s="477"/>
      <c r="S69" s="477"/>
      <c r="T69" s="477"/>
      <c r="U69" s="477"/>
      <c r="V69" s="477"/>
      <c r="W69" s="477"/>
      <c r="X69" s="477"/>
      <c r="Y69" s="477"/>
      <c r="Z69" s="477"/>
      <c r="AA69" s="478"/>
      <c r="AB69" s="478"/>
      <c r="AC69" s="477"/>
      <c r="AD69" s="477"/>
      <c r="AE69" s="477"/>
      <c r="AF69" s="478"/>
      <c r="AG69" s="477"/>
      <c r="AH69" s="477"/>
      <c r="AI69" s="477"/>
      <c r="AJ69" s="478"/>
      <c r="AK69" s="478"/>
      <c r="AL69" s="478"/>
      <c r="AM69" s="477"/>
      <c r="AN69" s="486"/>
      <c r="AO69" s="489"/>
      <c r="AP69" s="484"/>
      <c r="AQ69" s="477"/>
      <c r="AR69" s="477"/>
      <c r="AS69" s="477"/>
      <c r="AT69" s="477"/>
      <c r="AU69" s="477"/>
      <c r="AV69" s="477"/>
      <c r="AW69" s="477"/>
      <c r="AX69" s="477"/>
      <c r="AY69" s="478"/>
      <c r="AZ69" s="477"/>
      <c r="BA69" s="477"/>
      <c r="BB69" s="477"/>
      <c r="BC69" s="477"/>
      <c r="BD69" s="477"/>
      <c r="BE69" s="477"/>
      <c r="BF69" s="477"/>
      <c r="BG69" s="477"/>
      <c r="BH69" s="478"/>
      <c r="BI69" s="477"/>
      <c r="BJ69" s="477"/>
      <c r="BK69" s="477"/>
      <c r="BL69" s="478"/>
      <c r="BM69" s="478"/>
      <c r="BN69" s="478"/>
      <c r="BO69" s="477"/>
      <c r="BP69" s="477"/>
    </row>
    <row r="70" spans="2:68" ht="14.25" hidden="1" customHeight="1">
      <c r="B70" s="478"/>
      <c r="C70" s="477"/>
      <c r="D70" s="477"/>
      <c r="E70" s="477"/>
      <c r="F70" s="477"/>
      <c r="G70" s="477"/>
      <c r="H70" s="477"/>
      <c r="I70" s="480"/>
      <c r="J70" s="480"/>
      <c r="K70" s="480"/>
      <c r="L70" s="477"/>
      <c r="M70" s="477"/>
      <c r="N70" s="477"/>
      <c r="O70" s="477"/>
      <c r="P70" s="477"/>
      <c r="Q70" s="477"/>
      <c r="R70" s="477"/>
      <c r="S70" s="477"/>
      <c r="T70" s="477"/>
      <c r="U70" s="477"/>
      <c r="V70" s="477"/>
      <c r="W70" s="477"/>
      <c r="X70" s="477"/>
      <c r="Y70" s="477"/>
      <c r="Z70" s="477"/>
      <c r="AA70" s="478"/>
      <c r="AB70" s="478"/>
      <c r="AC70" s="477"/>
      <c r="AD70" s="477"/>
      <c r="AE70" s="477"/>
      <c r="AF70" s="478"/>
      <c r="AG70" s="477"/>
      <c r="AH70" s="477"/>
      <c r="AI70" s="477"/>
      <c r="AJ70" s="478"/>
      <c r="AK70" s="478"/>
      <c r="AL70" s="478"/>
      <c r="AM70" s="477"/>
      <c r="AN70" s="486"/>
      <c r="AO70" s="489"/>
      <c r="AP70" s="484"/>
      <c r="AQ70" s="477"/>
      <c r="AR70" s="477"/>
      <c r="AS70" s="477"/>
      <c r="AT70" s="477"/>
      <c r="AU70" s="477"/>
      <c r="AV70" s="477"/>
      <c r="AW70" s="477"/>
      <c r="AX70" s="477"/>
      <c r="AY70" s="478"/>
      <c r="AZ70" s="477"/>
      <c r="BA70" s="477"/>
      <c r="BB70" s="477"/>
      <c r="BC70" s="477"/>
      <c r="BD70" s="477"/>
      <c r="BE70" s="477"/>
      <c r="BF70" s="477"/>
      <c r="BG70" s="477"/>
      <c r="BH70" s="478"/>
      <c r="BI70" s="477"/>
      <c r="BJ70" s="477"/>
      <c r="BK70" s="477"/>
      <c r="BL70" s="478"/>
      <c r="BM70" s="478"/>
      <c r="BN70" s="478"/>
      <c r="BO70" s="477"/>
      <c r="BP70" s="477"/>
    </row>
    <row r="71" spans="2:68" ht="14.25" hidden="1" customHeight="1">
      <c r="B71" s="478"/>
      <c r="C71" s="477"/>
      <c r="D71" s="477"/>
      <c r="E71" s="477"/>
      <c r="F71" s="477"/>
      <c r="G71" s="477"/>
      <c r="H71" s="477"/>
      <c r="I71" s="480"/>
      <c r="J71" s="480"/>
      <c r="K71" s="480"/>
      <c r="L71" s="477"/>
      <c r="M71" s="477"/>
      <c r="N71" s="477"/>
      <c r="O71" s="477"/>
      <c r="P71" s="477"/>
      <c r="Q71" s="477"/>
      <c r="R71" s="477"/>
      <c r="S71" s="477"/>
      <c r="T71" s="477"/>
      <c r="U71" s="477"/>
      <c r="V71" s="477"/>
      <c r="W71" s="477"/>
      <c r="X71" s="477"/>
      <c r="Y71" s="477"/>
      <c r="Z71" s="477"/>
      <c r="AA71" s="478"/>
      <c r="AB71" s="478"/>
      <c r="AC71" s="477"/>
      <c r="AD71" s="477"/>
      <c r="AE71" s="477"/>
      <c r="AF71" s="478"/>
      <c r="AG71" s="477"/>
      <c r="AH71" s="477"/>
      <c r="AI71" s="477"/>
      <c r="AJ71" s="478"/>
      <c r="AK71" s="478"/>
      <c r="AL71" s="478"/>
      <c r="AM71" s="477"/>
      <c r="AN71" s="486"/>
      <c r="AO71" s="489"/>
      <c r="AP71" s="484"/>
      <c r="AQ71" s="477"/>
      <c r="AR71" s="477"/>
      <c r="AS71" s="477"/>
      <c r="AT71" s="477"/>
      <c r="AU71" s="477"/>
      <c r="AV71" s="477"/>
      <c r="AW71" s="477"/>
      <c r="AX71" s="477"/>
      <c r="AY71" s="478"/>
      <c r="AZ71" s="477"/>
      <c r="BA71" s="477"/>
      <c r="BB71" s="477"/>
      <c r="BC71" s="477"/>
      <c r="BD71" s="477"/>
      <c r="BE71" s="477"/>
      <c r="BF71" s="477"/>
      <c r="BG71" s="477"/>
      <c r="BH71" s="478"/>
      <c r="BI71" s="477"/>
      <c r="BJ71" s="477"/>
      <c r="BK71" s="477"/>
      <c r="BL71" s="478"/>
      <c r="BM71" s="478"/>
      <c r="BN71" s="478"/>
      <c r="BO71" s="477"/>
      <c r="BP71" s="477"/>
    </row>
    <row r="72" spans="2:68" ht="14.25" hidden="1" customHeight="1">
      <c r="B72" s="478"/>
      <c r="C72" s="477"/>
      <c r="D72" s="477"/>
      <c r="E72" s="477"/>
      <c r="F72" s="477"/>
      <c r="G72" s="477"/>
      <c r="H72" s="477"/>
      <c r="I72" s="480"/>
      <c r="J72" s="480"/>
      <c r="K72" s="480"/>
      <c r="L72" s="477"/>
      <c r="M72" s="477"/>
      <c r="N72" s="477"/>
      <c r="O72" s="477"/>
      <c r="P72" s="477"/>
      <c r="Q72" s="477"/>
      <c r="R72" s="477"/>
      <c r="S72" s="477"/>
      <c r="T72" s="477"/>
      <c r="U72" s="477"/>
      <c r="V72" s="477"/>
      <c r="W72" s="477"/>
      <c r="X72" s="477"/>
      <c r="Y72" s="477"/>
      <c r="Z72" s="477"/>
      <c r="AA72" s="478"/>
      <c r="AB72" s="478"/>
      <c r="AC72" s="477"/>
      <c r="AD72" s="477"/>
      <c r="AE72" s="477"/>
      <c r="AF72" s="478"/>
      <c r="AG72" s="477"/>
      <c r="AH72" s="477"/>
      <c r="AI72" s="477"/>
      <c r="AJ72" s="478"/>
      <c r="AK72" s="478"/>
      <c r="AL72" s="478"/>
      <c r="AM72" s="477"/>
      <c r="AN72" s="486"/>
      <c r="AO72" s="489"/>
      <c r="AP72" s="484"/>
      <c r="AQ72" s="477"/>
      <c r="AR72" s="477"/>
      <c r="AS72" s="477"/>
      <c r="AT72" s="477"/>
      <c r="AU72" s="477"/>
      <c r="AV72" s="477"/>
      <c r="AW72" s="477"/>
      <c r="AX72" s="477"/>
      <c r="AY72" s="478"/>
      <c r="AZ72" s="477"/>
      <c r="BA72" s="477"/>
      <c r="BB72" s="477"/>
      <c r="BC72" s="477"/>
      <c r="BD72" s="477"/>
      <c r="BE72" s="477"/>
      <c r="BF72" s="477"/>
      <c r="BG72" s="477"/>
      <c r="BH72" s="478"/>
      <c r="BI72" s="477"/>
      <c r="BJ72" s="477"/>
      <c r="BK72" s="477"/>
      <c r="BL72" s="478"/>
      <c r="BM72" s="478"/>
      <c r="BN72" s="478"/>
      <c r="BO72" s="477"/>
      <c r="BP72" s="477"/>
    </row>
    <row r="73" spans="2:68" ht="14.25" hidden="1" customHeight="1">
      <c r="B73" s="478"/>
      <c r="C73" s="477"/>
      <c r="D73" s="477"/>
      <c r="E73" s="477"/>
      <c r="F73" s="477"/>
      <c r="G73" s="477"/>
      <c r="H73" s="477"/>
      <c r="I73" s="480"/>
      <c r="J73" s="480"/>
      <c r="K73" s="480"/>
      <c r="L73" s="477"/>
      <c r="M73" s="477"/>
      <c r="N73" s="477"/>
      <c r="O73" s="477"/>
      <c r="P73" s="477"/>
      <c r="Q73" s="477"/>
      <c r="R73" s="477"/>
      <c r="S73" s="477"/>
      <c r="T73" s="477"/>
      <c r="U73" s="477"/>
      <c r="V73" s="477"/>
      <c r="W73" s="477"/>
      <c r="X73" s="477"/>
      <c r="Y73" s="477"/>
      <c r="Z73" s="477"/>
      <c r="AA73" s="478"/>
      <c r="AB73" s="478"/>
      <c r="AC73" s="477"/>
      <c r="AD73" s="477"/>
      <c r="AE73" s="477"/>
      <c r="AF73" s="478"/>
      <c r="AG73" s="477"/>
      <c r="AH73" s="477"/>
      <c r="AI73" s="477"/>
      <c r="AJ73" s="478"/>
      <c r="AK73" s="478"/>
      <c r="AL73" s="478"/>
      <c r="AM73" s="477"/>
      <c r="AN73" s="486"/>
      <c r="AO73" s="489"/>
      <c r="AP73" s="484"/>
      <c r="AQ73" s="477"/>
      <c r="AR73" s="477"/>
      <c r="AS73" s="477"/>
      <c r="AT73" s="477"/>
      <c r="AU73" s="477"/>
      <c r="AV73" s="477"/>
      <c r="AW73" s="477"/>
      <c r="AX73" s="477"/>
      <c r="AY73" s="478"/>
      <c r="AZ73" s="477"/>
      <c r="BA73" s="477"/>
      <c r="BB73" s="477"/>
      <c r="BC73" s="477"/>
      <c r="BD73" s="477"/>
      <c r="BE73" s="477"/>
      <c r="BF73" s="477"/>
      <c r="BG73" s="477"/>
      <c r="BH73" s="478"/>
      <c r="BI73" s="477"/>
      <c r="BJ73" s="477"/>
      <c r="BK73" s="477"/>
      <c r="BL73" s="478"/>
      <c r="BM73" s="478"/>
      <c r="BN73" s="478"/>
      <c r="BO73" s="477"/>
      <c r="BP73" s="477"/>
    </row>
    <row r="74" spans="2:68" ht="14.25" hidden="1" customHeight="1">
      <c r="B74" s="478"/>
      <c r="C74" s="477"/>
      <c r="D74" s="477"/>
      <c r="E74" s="477"/>
      <c r="F74" s="477"/>
      <c r="G74" s="477"/>
      <c r="H74" s="477"/>
      <c r="I74" s="480"/>
      <c r="J74" s="480"/>
      <c r="K74" s="480"/>
      <c r="L74" s="477"/>
      <c r="M74" s="477"/>
      <c r="N74" s="477"/>
      <c r="O74" s="477"/>
      <c r="P74" s="477"/>
      <c r="Q74" s="477"/>
      <c r="R74" s="477"/>
      <c r="S74" s="477"/>
      <c r="T74" s="477"/>
      <c r="U74" s="477"/>
      <c r="V74" s="477"/>
      <c r="W74" s="477"/>
      <c r="X74" s="477"/>
      <c r="Y74" s="477"/>
      <c r="Z74" s="477"/>
      <c r="AA74" s="478"/>
      <c r="AB74" s="478"/>
      <c r="AC74" s="477"/>
      <c r="AD74" s="477"/>
      <c r="AE74" s="477"/>
      <c r="AF74" s="478"/>
      <c r="AG74" s="477"/>
      <c r="AH74" s="477"/>
      <c r="AI74" s="477"/>
      <c r="AJ74" s="478"/>
      <c r="AK74" s="478"/>
      <c r="AL74" s="478"/>
      <c r="AM74" s="477"/>
      <c r="AN74" s="486"/>
      <c r="AO74" s="489"/>
      <c r="AP74" s="484"/>
      <c r="AQ74" s="477"/>
      <c r="AR74" s="477"/>
      <c r="AS74" s="477"/>
      <c r="AT74" s="477"/>
      <c r="AU74" s="477"/>
      <c r="AV74" s="477"/>
      <c r="AW74" s="477"/>
      <c r="AX74" s="477"/>
      <c r="AY74" s="478"/>
      <c r="AZ74" s="477"/>
      <c r="BA74" s="477"/>
      <c r="BB74" s="477"/>
      <c r="BC74" s="477"/>
      <c r="BD74" s="477"/>
      <c r="BE74" s="477"/>
      <c r="BF74" s="477"/>
      <c r="BG74" s="477"/>
      <c r="BH74" s="478"/>
      <c r="BI74" s="477"/>
      <c r="BJ74" s="477"/>
      <c r="BK74" s="477"/>
      <c r="BL74" s="478"/>
      <c r="BM74" s="478"/>
      <c r="BN74" s="478"/>
      <c r="BO74" s="477"/>
      <c r="BP74" s="477"/>
    </row>
    <row r="75" spans="2:68" ht="14.25" hidden="1" customHeight="1">
      <c r="B75" s="478"/>
      <c r="C75" s="477"/>
      <c r="D75" s="477"/>
      <c r="E75" s="477"/>
      <c r="F75" s="477"/>
      <c r="G75" s="477"/>
      <c r="H75" s="477"/>
      <c r="I75" s="480"/>
      <c r="J75" s="480"/>
      <c r="K75" s="480"/>
      <c r="L75" s="477"/>
      <c r="M75" s="477"/>
      <c r="N75" s="477"/>
      <c r="O75" s="477"/>
      <c r="P75" s="477"/>
      <c r="Q75" s="477"/>
      <c r="R75" s="477"/>
      <c r="S75" s="477"/>
      <c r="T75" s="477"/>
      <c r="U75" s="477"/>
      <c r="V75" s="477"/>
      <c r="W75" s="477"/>
      <c r="X75" s="477"/>
      <c r="Y75" s="477"/>
      <c r="Z75" s="477"/>
      <c r="AA75" s="478"/>
      <c r="AB75" s="478"/>
      <c r="AC75" s="477"/>
      <c r="AD75" s="477"/>
      <c r="AE75" s="477"/>
      <c r="AF75" s="478"/>
      <c r="AG75" s="477"/>
      <c r="AH75" s="477"/>
      <c r="AI75" s="477"/>
      <c r="AJ75" s="478"/>
      <c r="AK75" s="478"/>
      <c r="AL75" s="478"/>
      <c r="AM75" s="477"/>
      <c r="AN75" s="486"/>
      <c r="AO75" s="489"/>
      <c r="AP75" s="484"/>
      <c r="AQ75" s="477"/>
      <c r="AR75" s="477"/>
      <c r="AS75" s="477"/>
      <c r="AT75" s="477"/>
      <c r="AU75" s="477"/>
      <c r="AV75" s="477"/>
      <c r="AW75" s="477"/>
      <c r="AX75" s="477"/>
      <c r="AY75" s="478"/>
      <c r="AZ75" s="477"/>
      <c r="BA75" s="477"/>
      <c r="BB75" s="477"/>
      <c r="BC75" s="477"/>
      <c r="BD75" s="477"/>
      <c r="BE75" s="477"/>
      <c r="BF75" s="477"/>
      <c r="BG75" s="477"/>
      <c r="BH75" s="478"/>
      <c r="BI75" s="477"/>
      <c r="BJ75" s="477"/>
      <c r="BK75" s="477"/>
      <c r="BL75" s="478"/>
      <c r="BM75" s="478"/>
      <c r="BN75" s="478"/>
      <c r="BO75" s="477"/>
      <c r="BP75" s="477"/>
    </row>
    <row r="76" spans="2:68" ht="14.25" hidden="1" customHeight="1">
      <c r="B76" s="478"/>
      <c r="C76" s="477"/>
      <c r="D76" s="477"/>
      <c r="E76" s="477"/>
      <c r="F76" s="477"/>
      <c r="G76" s="477"/>
      <c r="H76" s="477"/>
      <c r="I76" s="480"/>
      <c r="J76" s="480"/>
      <c r="K76" s="480"/>
      <c r="L76" s="477"/>
      <c r="M76" s="477"/>
      <c r="N76" s="477"/>
      <c r="O76" s="477"/>
      <c r="P76" s="477"/>
      <c r="Q76" s="477"/>
      <c r="R76" s="477"/>
      <c r="S76" s="477"/>
      <c r="T76" s="477"/>
      <c r="U76" s="477"/>
      <c r="V76" s="477"/>
      <c r="W76" s="477"/>
      <c r="X76" s="477"/>
      <c r="Y76" s="477"/>
      <c r="Z76" s="477"/>
      <c r="AA76" s="478"/>
      <c r="AB76" s="478"/>
      <c r="AC76" s="477"/>
      <c r="AD76" s="477"/>
      <c r="AE76" s="477"/>
      <c r="AF76" s="478"/>
      <c r="AG76" s="477"/>
      <c r="AH76" s="477"/>
      <c r="AI76" s="477"/>
      <c r="AJ76" s="478"/>
      <c r="AK76" s="478"/>
      <c r="AL76" s="478"/>
      <c r="AM76" s="477"/>
      <c r="AN76" s="486"/>
      <c r="AO76" s="489"/>
      <c r="AP76" s="484"/>
      <c r="AQ76" s="477"/>
      <c r="AR76" s="477"/>
      <c r="AS76" s="477"/>
      <c r="AT76" s="477"/>
      <c r="AU76" s="477"/>
      <c r="AV76" s="477"/>
      <c r="AW76" s="477"/>
      <c r="AX76" s="477"/>
      <c r="AY76" s="478"/>
      <c r="AZ76" s="477"/>
      <c r="BA76" s="477"/>
      <c r="BB76" s="477"/>
      <c r="BC76" s="477"/>
      <c r="BD76" s="477"/>
      <c r="BE76" s="477"/>
      <c r="BF76" s="477"/>
      <c r="BG76" s="477"/>
      <c r="BH76" s="478"/>
      <c r="BI76" s="477"/>
      <c r="BJ76" s="477"/>
      <c r="BK76" s="477"/>
      <c r="BL76" s="478"/>
      <c r="BM76" s="478"/>
      <c r="BN76" s="478"/>
      <c r="BO76" s="477"/>
      <c r="BP76" s="477"/>
    </row>
    <row r="77" spans="2:68" ht="14.25" hidden="1" customHeight="1">
      <c r="B77" s="478"/>
      <c r="C77" s="477"/>
      <c r="D77" s="477"/>
      <c r="E77" s="477"/>
      <c r="F77" s="477"/>
      <c r="G77" s="477"/>
      <c r="H77" s="477"/>
      <c r="I77" s="480"/>
      <c r="J77" s="480"/>
      <c r="K77" s="480"/>
      <c r="L77" s="477"/>
      <c r="M77" s="477"/>
      <c r="N77" s="477"/>
      <c r="O77" s="477"/>
      <c r="P77" s="477"/>
      <c r="Q77" s="477"/>
      <c r="R77" s="477"/>
      <c r="S77" s="477"/>
      <c r="T77" s="477"/>
      <c r="U77" s="477"/>
      <c r="V77" s="477"/>
      <c r="W77" s="477"/>
      <c r="X77" s="477"/>
      <c r="Y77" s="477"/>
      <c r="Z77" s="477"/>
      <c r="AA77" s="478"/>
      <c r="AB77" s="478"/>
      <c r="AC77" s="477"/>
      <c r="AD77" s="477"/>
      <c r="AE77" s="477"/>
      <c r="AF77" s="478"/>
      <c r="AG77" s="477"/>
      <c r="AH77" s="477"/>
      <c r="AI77" s="477"/>
      <c r="AJ77" s="478"/>
      <c r="AK77" s="478"/>
      <c r="AL77" s="478"/>
      <c r="AM77" s="477"/>
      <c r="AN77" s="486"/>
      <c r="AO77" s="489"/>
      <c r="AP77" s="484"/>
      <c r="AQ77" s="477"/>
      <c r="AR77" s="477"/>
      <c r="AS77" s="477"/>
      <c r="AT77" s="477"/>
      <c r="AU77" s="477"/>
      <c r="AV77" s="477"/>
      <c r="AW77" s="477"/>
      <c r="AX77" s="477"/>
      <c r="AY77" s="478"/>
      <c r="AZ77" s="477"/>
      <c r="BA77" s="477"/>
      <c r="BB77" s="477"/>
      <c r="BC77" s="477"/>
      <c r="BD77" s="477"/>
      <c r="BE77" s="477"/>
      <c r="BF77" s="477"/>
      <c r="BG77" s="477"/>
      <c r="BH77" s="478"/>
      <c r="BI77" s="477"/>
      <c r="BJ77" s="477"/>
      <c r="BK77" s="477"/>
      <c r="BL77" s="478"/>
      <c r="BM77" s="478"/>
      <c r="BN77" s="478"/>
      <c r="BO77" s="477"/>
      <c r="BP77" s="477"/>
    </row>
    <row r="78" spans="2:68" ht="14.25" hidden="1" customHeight="1">
      <c r="B78" s="478"/>
      <c r="C78" s="477"/>
      <c r="D78" s="477"/>
      <c r="E78" s="477"/>
      <c r="F78" s="477"/>
      <c r="G78" s="477"/>
      <c r="H78" s="477"/>
      <c r="I78" s="480"/>
      <c r="J78" s="480"/>
      <c r="K78" s="480"/>
      <c r="L78" s="477"/>
      <c r="M78" s="477"/>
      <c r="N78" s="477"/>
      <c r="O78" s="477"/>
      <c r="P78" s="477"/>
      <c r="Q78" s="477"/>
      <c r="R78" s="477"/>
      <c r="S78" s="477"/>
      <c r="T78" s="477"/>
      <c r="U78" s="477"/>
      <c r="V78" s="477"/>
      <c r="W78" s="477"/>
      <c r="X78" s="477"/>
      <c r="Y78" s="477"/>
      <c r="Z78" s="477"/>
      <c r="AA78" s="478"/>
      <c r="AB78" s="478"/>
      <c r="AC78" s="477"/>
      <c r="AD78" s="477"/>
      <c r="AE78" s="477"/>
      <c r="AF78" s="478"/>
      <c r="AG78" s="477"/>
      <c r="AH78" s="477"/>
      <c r="AI78" s="477"/>
      <c r="AJ78" s="478"/>
      <c r="AK78" s="478"/>
      <c r="AL78" s="478"/>
      <c r="AM78" s="477"/>
      <c r="AN78" s="486"/>
      <c r="AO78" s="489"/>
      <c r="AP78" s="484"/>
      <c r="AQ78" s="477"/>
      <c r="AR78" s="477"/>
      <c r="AS78" s="477"/>
      <c r="AT78" s="477"/>
      <c r="AU78" s="477"/>
      <c r="AV78" s="477"/>
      <c r="AW78" s="477"/>
      <c r="AX78" s="477"/>
      <c r="AY78" s="478"/>
      <c r="AZ78" s="477"/>
      <c r="BA78" s="477"/>
      <c r="BB78" s="477"/>
      <c r="BC78" s="477"/>
      <c r="BD78" s="477"/>
      <c r="BE78" s="477"/>
      <c r="BF78" s="477"/>
      <c r="BG78" s="477"/>
      <c r="BH78" s="478"/>
      <c r="BI78" s="477"/>
      <c r="BJ78" s="477"/>
      <c r="BK78" s="477"/>
      <c r="BL78" s="478"/>
      <c r="BM78" s="478"/>
      <c r="BN78" s="478"/>
      <c r="BO78" s="477"/>
      <c r="BP78" s="477"/>
    </row>
    <row r="79" spans="2:68" ht="14.25" hidden="1" customHeight="1">
      <c r="B79" s="478"/>
      <c r="C79" s="477"/>
      <c r="D79" s="477"/>
      <c r="E79" s="477"/>
      <c r="F79" s="477"/>
      <c r="G79" s="477"/>
      <c r="H79" s="477"/>
      <c r="I79" s="480"/>
      <c r="J79" s="480"/>
      <c r="K79" s="480"/>
      <c r="L79" s="477"/>
      <c r="M79" s="477"/>
      <c r="N79" s="477"/>
      <c r="O79" s="477"/>
      <c r="P79" s="477"/>
      <c r="Q79" s="477"/>
      <c r="R79" s="477"/>
      <c r="S79" s="477"/>
      <c r="T79" s="477"/>
      <c r="U79" s="477"/>
      <c r="V79" s="477"/>
      <c r="W79" s="477"/>
      <c r="X79" s="477"/>
      <c r="Y79" s="477"/>
      <c r="Z79" s="477"/>
      <c r="AA79" s="478"/>
      <c r="AB79" s="478"/>
      <c r="AC79" s="477"/>
      <c r="AD79" s="477"/>
      <c r="AE79" s="477"/>
      <c r="AF79" s="478"/>
      <c r="AG79" s="477"/>
      <c r="AH79" s="477"/>
      <c r="AI79" s="477"/>
      <c r="AJ79" s="478"/>
      <c r="AK79" s="478"/>
      <c r="AL79" s="478"/>
      <c r="AM79" s="477"/>
      <c r="AN79" s="486"/>
      <c r="AO79" s="489"/>
      <c r="AP79" s="484"/>
      <c r="AQ79" s="477"/>
      <c r="AR79" s="477"/>
      <c r="AS79" s="477"/>
      <c r="AT79" s="477"/>
      <c r="AU79" s="477"/>
      <c r="AV79" s="477"/>
      <c r="AW79" s="477"/>
      <c r="AX79" s="477"/>
      <c r="AY79" s="478"/>
      <c r="AZ79" s="477"/>
      <c r="BA79" s="477"/>
      <c r="BB79" s="477"/>
      <c r="BC79" s="477"/>
      <c r="BD79" s="477"/>
      <c r="BE79" s="477"/>
      <c r="BF79" s="477"/>
      <c r="BG79" s="477"/>
      <c r="BH79" s="478"/>
      <c r="BI79" s="477"/>
      <c r="BJ79" s="477"/>
      <c r="BK79" s="477"/>
      <c r="BL79" s="478"/>
      <c r="BM79" s="478"/>
      <c r="BN79" s="478"/>
      <c r="BO79" s="477"/>
      <c r="BP79" s="477"/>
    </row>
    <row r="80" spans="2:68" ht="14.25" hidden="1" customHeight="1">
      <c r="B80" s="478"/>
      <c r="C80" s="477"/>
      <c r="D80" s="477"/>
      <c r="E80" s="477"/>
      <c r="F80" s="477"/>
      <c r="G80" s="477"/>
      <c r="H80" s="477"/>
      <c r="I80" s="480"/>
      <c r="J80" s="480"/>
      <c r="K80" s="480"/>
      <c r="L80" s="477"/>
      <c r="M80" s="477"/>
      <c r="N80" s="477"/>
      <c r="O80" s="477"/>
      <c r="P80" s="477"/>
      <c r="Q80" s="477"/>
      <c r="R80" s="477"/>
      <c r="S80" s="477"/>
      <c r="T80" s="477"/>
      <c r="U80" s="477"/>
      <c r="V80" s="477"/>
      <c r="W80" s="477"/>
      <c r="X80" s="477"/>
      <c r="Y80" s="477"/>
      <c r="Z80" s="477"/>
      <c r="AA80" s="478"/>
      <c r="AB80" s="478"/>
      <c r="AC80" s="477"/>
      <c r="AD80" s="477"/>
      <c r="AE80" s="477"/>
      <c r="AF80" s="478"/>
      <c r="AG80" s="477"/>
      <c r="AH80" s="477"/>
      <c r="AI80" s="477"/>
      <c r="AJ80" s="478"/>
      <c r="AK80" s="478"/>
      <c r="AL80" s="478"/>
      <c r="AM80" s="477"/>
      <c r="AN80" s="486"/>
      <c r="AO80" s="489"/>
      <c r="AP80" s="484"/>
      <c r="AQ80" s="477"/>
      <c r="AR80" s="477"/>
      <c r="AS80" s="477"/>
      <c r="AT80" s="477"/>
      <c r="AU80" s="477"/>
      <c r="AV80" s="477"/>
      <c r="AW80" s="477"/>
      <c r="AX80" s="477"/>
      <c r="AY80" s="478"/>
      <c r="AZ80" s="477"/>
      <c r="BA80" s="477"/>
      <c r="BB80" s="477"/>
      <c r="BC80" s="477"/>
      <c r="BD80" s="477"/>
      <c r="BE80" s="477"/>
      <c r="BF80" s="477"/>
      <c r="BG80" s="477"/>
      <c r="BH80" s="478"/>
      <c r="BI80" s="477"/>
      <c r="BJ80" s="477"/>
      <c r="BK80" s="477"/>
      <c r="BL80" s="478"/>
      <c r="BM80" s="478"/>
      <c r="BN80" s="478"/>
      <c r="BO80" s="477"/>
      <c r="BP80" s="477"/>
    </row>
    <row r="81" spans="2:68" ht="14.25" hidden="1" customHeight="1">
      <c r="B81" s="478"/>
      <c r="C81" s="477"/>
      <c r="D81" s="477"/>
      <c r="E81" s="477"/>
      <c r="F81" s="477"/>
      <c r="G81" s="477"/>
      <c r="H81" s="477"/>
      <c r="I81" s="480"/>
      <c r="J81" s="480"/>
      <c r="K81" s="480"/>
      <c r="L81" s="477"/>
      <c r="M81" s="477"/>
      <c r="N81" s="477"/>
      <c r="O81" s="477"/>
      <c r="P81" s="477"/>
      <c r="Q81" s="477"/>
      <c r="R81" s="477"/>
      <c r="S81" s="477"/>
      <c r="T81" s="477"/>
      <c r="U81" s="477"/>
      <c r="V81" s="477"/>
      <c r="W81" s="477"/>
      <c r="X81" s="477"/>
      <c r="Y81" s="477"/>
      <c r="Z81" s="477"/>
      <c r="AA81" s="478"/>
      <c r="AB81" s="478"/>
      <c r="AC81" s="477"/>
      <c r="AD81" s="477"/>
      <c r="AE81" s="477"/>
      <c r="AF81" s="478"/>
      <c r="AG81" s="477"/>
      <c r="AH81" s="477"/>
      <c r="AI81" s="477"/>
      <c r="AJ81" s="478"/>
      <c r="AK81" s="478"/>
      <c r="AL81" s="478"/>
      <c r="AM81" s="477"/>
      <c r="AN81" s="486"/>
      <c r="AO81" s="489"/>
      <c r="AP81" s="484"/>
      <c r="AQ81" s="477"/>
      <c r="AR81" s="477"/>
      <c r="AS81" s="477"/>
      <c r="AT81" s="477"/>
      <c r="AU81" s="477"/>
      <c r="AV81" s="477"/>
      <c r="AW81" s="477"/>
      <c r="AX81" s="477"/>
      <c r="AY81" s="478"/>
      <c r="AZ81" s="477"/>
      <c r="BA81" s="477"/>
      <c r="BB81" s="477"/>
      <c r="BC81" s="477"/>
      <c r="BD81" s="477"/>
      <c r="BE81" s="477"/>
      <c r="BF81" s="477"/>
      <c r="BG81" s="477"/>
      <c r="BH81" s="478"/>
      <c r="BI81" s="477"/>
      <c r="BJ81" s="477"/>
      <c r="BK81" s="477"/>
      <c r="BL81" s="478"/>
      <c r="BM81" s="478"/>
      <c r="BN81" s="478"/>
      <c r="BO81" s="477"/>
      <c r="BP81" s="477"/>
    </row>
    <row r="82" spans="2:68" ht="14.25" hidden="1" customHeight="1">
      <c r="B82" s="478"/>
      <c r="C82" s="477"/>
      <c r="D82" s="477"/>
      <c r="E82" s="477"/>
      <c r="F82" s="477"/>
      <c r="G82" s="477"/>
      <c r="H82" s="477"/>
      <c r="I82" s="480"/>
      <c r="J82" s="480"/>
      <c r="K82" s="480"/>
      <c r="L82" s="477"/>
      <c r="M82" s="477"/>
      <c r="N82" s="477"/>
      <c r="O82" s="477"/>
      <c r="P82" s="477"/>
      <c r="Q82" s="477"/>
      <c r="R82" s="477"/>
      <c r="S82" s="477"/>
      <c r="T82" s="477"/>
      <c r="U82" s="477"/>
      <c r="V82" s="477"/>
      <c r="W82" s="477"/>
      <c r="X82" s="477"/>
      <c r="Y82" s="477"/>
      <c r="Z82" s="477"/>
      <c r="AA82" s="478"/>
      <c r="AB82" s="478"/>
      <c r="AC82" s="477"/>
      <c r="AD82" s="477"/>
      <c r="AE82" s="477"/>
      <c r="AF82" s="478"/>
      <c r="AG82" s="477"/>
      <c r="AH82" s="477"/>
      <c r="AI82" s="477"/>
      <c r="AJ82" s="478"/>
      <c r="AK82" s="478"/>
      <c r="AL82" s="478"/>
      <c r="AM82" s="477"/>
      <c r="AN82" s="486"/>
      <c r="AO82" s="489"/>
      <c r="AP82" s="484"/>
      <c r="AQ82" s="477"/>
      <c r="AR82" s="477"/>
      <c r="AS82" s="477"/>
      <c r="AT82" s="477"/>
      <c r="AU82" s="477"/>
      <c r="AV82" s="477"/>
      <c r="AW82" s="477"/>
      <c r="AX82" s="477"/>
      <c r="AY82" s="478"/>
      <c r="AZ82" s="477"/>
      <c r="BA82" s="477"/>
      <c r="BB82" s="477"/>
      <c r="BC82" s="477"/>
      <c r="BD82" s="477"/>
      <c r="BE82" s="477"/>
      <c r="BF82" s="477"/>
      <c r="BG82" s="477"/>
      <c r="BH82" s="478"/>
      <c r="BI82" s="477"/>
      <c r="BJ82" s="477"/>
      <c r="BK82" s="477"/>
      <c r="BL82" s="478"/>
      <c r="BM82" s="478"/>
      <c r="BN82" s="478"/>
      <c r="BO82" s="477"/>
      <c r="BP82" s="477"/>
    </row>
    <row r="83" spans="2:68" ht="14.25" hidden="1" customHeight="1">
      <c r="B83" s="478"/>
      <c r="C83" s="477"/>
      <c r="D83" s="477"/>
      <c r="E83" s="477"/>
      <c r="F83" s="477"/>
      <c r="G83" s="477"/>
      <c r="H83" s="477"/>
      <c r="I83" s="480"/>
      <c r="J83" s="480"/>
      <c r="K83" s="480"/>
      <c r="L83" s="477"/>
      <c r="M83" s="477"/>
      <c r="N83" s="477"/>
      <c r="O83" s="477"/>
      <c r="P83" s="477"/>
      <c r="Q83" s="477"/>
      <c r="R83" s="477"/>
      <c r="S83" s="477"/>
      <c r="T83" s="477"/>
      <c r="U83" s="477"/>
      <c r="V83" s="477"/>
      <c r="W83" s="477"/>
      <c r="X83" s="477"/>
      <c r="Y83" s="477"/>
      <c r="Z83" s="477"/>
      <c r="AA83" s="478"/>
      <c r="AB83" s="478"/>
      <c r="AC83" s="477"/>
      <c r="AD83" s="477"/>
      <c r="AE83" s="477"/>
      <c r="AF83" s="478"/>
      <c r="AG83" s="477"/>
      <c r="AH83" s="477"/>
      <c r="AI83" s="477"/>
      <c r="AJ83" s="478"/>
      <c r="AK83" s="478"/>
      <c r="AL83" s="478"/>
      <c r="AM83" s="477"/>
      <c r="AN83" s="486"/>
      <c r="AO83" s="489"/>
      <c r="AP83" s="484"/>
      <c r="AQ83" s="477"/>
      <c r="AR83" s="477"/>
      <c r="AS83" s="477"/>
      <c r="AT83" s="477"/>
      <c r="AU83" s="477"/>
      <c r="AV83" s="477"/>
      <c r="AW83" s="477"/>
      <c r="AX83" s="477"/>
      <c r="AY83" s="478"/>
      <c r="AZ83" s="477"/>
      <c r="BA83" s="477"/>
      <c r="BB83" s="477"/>
      <c r="BC83" s="477"/>
      <c r="BD83" s="477"/>
      <c r="BE83" s="477"/>
      <c r="BF83" s="477"/>
      <c r="BG83" s="477"/>
      <c r="BH83" s="478"/>
      <c r="BI83" s="477"/>
      <c r="BJ83" s="477"/>
      <c r="BK83" s="477"/>
      <c r="BL83" s="478"/>
      <c r="BM83" s="478"/>
      <c r="BN83" s="478"/>
      <c r="BO83" s="477"/>
      <c r="BP83" s="477"/>
    </row>
    <row r="84" spans="2:68" ht="14.25" hidden="1" customHeight="1">
      <c r="B84" s="478"/>
      <c r="C84" s="477"/>
      <c r="D84" s="477"/>
      <c r="E84" s="477"/>
      <c r="F84" s="477"/>
      <c r="G84" s="477"/>
      <c r="H84" s="477"/>
      <c r="I84" s="480"/>
      <c r="J84" s="480"/>
      <c r="K84" s="480"/>
      <c r="L84" s="477"/>
      <c r="M84" s="477"/>
      <c r="N84" s="477"/>
      <c r="O84" s="477"/>
      <c r="P84" s="477"/>
      <c r="Q84" s="477"/>
      <c r="R84" s="477"/>
      <c r="S84" s="477"/>
      <c r="T84" s="477"/>
      <c r="U84" s="477"/>
      <c r="V84" s="477"/>
      <c r="W84" s="477"/>
      <c r="X84" s="477"/>
      <c r="Y84" s="477"/>
      <c r="Z84" s="477"/>
      <c r="AA84" s="478"/>
      <c r="AB84" s="478"/>
      <c r="AC84" s="477"/>
      <c r="AD84" s="477"/>
      <c r="AE84" s="477"/>
      <c r="AF84" s="478"/>
      <c r="AG84" s="477"/>
      <c r="AH84" s="477"/>
      <c r="AI84" s="477"/>
      <c r="AJ84" s="478"/>
      <c r="AK84" s="478"/>
      <c r="AL84" s="478"/>
      <c r="AM84" s="477"/>
      <c r="AN84" s="486"/>
      <c r="AO84" s="489"/>
      <c r="AP84" s="484"/>
      <c r="AQ84" s="477"/>
      <c r="AR84" s="477"/>
      <c r="AS84" s="477"/>
      <c r="AT84" s="477"/>
      <c r="AU84" s="477"/>
      <c r="AV84" s="477"/>
      <c r="AW84" s="477"/>
      <c r="AX84" s="477"/>
      <c r="AY84" s="478"/>
      <c r="AZ84" s="477"/>
      <c r="BA84" s="477"/>
      <c r="BB84" s="477"/>
      <c r="BC84" s="477"/>
      <c r="BD84" s="477"/>
      <c r="BE84" s="477"/>
      <c r="BF84" s="477"/>
      <c r="BG84" s="477"/>
      <c r="BH84" s="478"/>
      <c r="BI84" s="477"/>
      <c r="BJ84" s="477"/>
      <c r="BK84" s="477"/>
      <c r="BL84" s="478"/>
      <c r="BM84" s="478"/>
      <c r="BN84" s="478"/>
      <c r="BO84" s="477"/>
      <c r="BP84" s="477"/>
    </row>
    <row r="85" spans="2:68" ht="14.25" hidden="1" customHeight="1">
      <c r="B85" s="478"/>
      <c r="C85" s="477"/>
      <c r="D85" s="477"/>
      <c r="E85" s="477"/>
      <c r="F85" s="477"/>
      <c r="G85" s="477"/>
      <c r="H85" s="477"/>
      <c r="I85" s="480"/>
      <c r="J85" s="480"/>
      <c r="K85" s="480"/>
      <c r="L85" s="477"/>
      <c r="M85" s="477"/>
      <c r="N85" s="477"/>
      <c r="O85" s="477"/>
      <c r="P85" s="477"/>
      <c r="Q85" s="477"/>
      <c r="R85" s="477"/>
      <c r="S85" s="477"/>
      <c r="T85" s="477"/>
      <c r="U85" s="477"/>
      <c r="V85" s="477"/>
      <c r="W85" s="477"/>
      <c r="X85" s="477"/>
      <c r="Y85" s="477"/>
      <c r="Z85" s="477"/>
      <c r="AA85" s="478"/>
      <c r="AB85" s="478"/>
      <c r="AC85" s="477"/>
      <c r="AD85" s="477"/>
      <c r="AE85" s="477"/>
      <c r="AF85" s="478"/>
      <c r="AG85" s="477"/>
      <c r="AH85" s="477"/>
      <c r="AI85" s="477"/>
      <c r="AJ85" s="478"/>
      <c r="AK85" s="478"/>
      <c r="AL85" s="478"/>
      <c r="AM85" s="477"/>
      <c r="AN85" s="486"/>
      <c r="AO85" s="489"/>
      <c r="AP85" s="484"/>
      <c r="AQ85" s="477"/>
      <c r="AR85" s="477"/>
      <c r="AS85" s="477"/>
      <c r="AT85" s="477"/>
      <c r="AU85" s="477"/>
      <c r="AV85" s="477"/>
      <c r="AW85" s="477"/>
      <c r="AX85" s="477"/>
      <c r="AY85" s="478"/>
      <c r="AZ85" s="477"/>
      <c r="BA85" s="477"/>
      <c r="BB85" s="477"/>
      <c r="BC85" s="477"/>
      <c r="BD85" s="477"/>
      <c r="BE85" s="477"/>
      <c r="BF85" s="477"/>
      <c r="BG85" s="477"/>
      <c r="BH85" s="478"/>
      <c r="BI85" s="477"/>
      <c r="BJ85" s="477"/>
      <c r="BK85" s="477"/>
      <c r="BL85" s="478"/>
      <c r="BM85" s="478"/>
      <c r="BN85" s="478"/>
      <c r="BO85" s="477"/>
      <c r="BP85" s="477"/>
    </row>
    <row r="86" spans="2:68" ht="14.25" hidden="1" customHeight="1">
      <c r="B86" s="478"/>
      <c r="C86" s="477"/>
      <c r="D86" s="477"/>
      <c r="E86" s="477"/>
      <c r="F86" s="477"/>
      <c r="G86" s="477"/>
      <c r="H86" s="477"/>
      <c r="I86" s="480"/>
      <c r="J86" s="480"/>
      <c r="K86" s="480"/>
      <c r="L86" s="477"/>
      <c r="M86" s="477"/>
      <c r="N86" s="477"/>
      <c r="O86" s="477"/>
      <c r="P86" s="477"/>
      <c r="Q86" s="477"/>
      <c r="R86" s="477"/>
      <c r="S86" s="477"/>
      <c r="T86" s="477"/>
      <c r="U86" s="477"/>
      <c r="V86" s="477"/>
      <c r="W86" s="477"/>
      <c r="X86" s="477"/>
      <c r="Y86" s="477"/>
      <c r="Z86" s="477"/>
      <c r="AA86" s="478"/>
      <c r="AB86" s="478"/>
      <c r="AC86" s="477"/>
      <c r="AD86" s="477"/>
      <c r="AE86" s="477"/>
      <c r="AF86" s="478"/>
      <c r="AG86" s="477"/>
      <c r="AH86" s="477"/>
      <c r="AI86" s="477"/>
      <c r="AJ86" s="478"/>
      <c r="AK86" s="478"/>
      <c r="AL86" s="478"/>
      <c r="AM86" s="477"/>
      <c r="AN86" s="486"/>
      <c r="AO86" s="489"/>
      <c r="AP86" s="484"/>
      <c r="AQ86" s="477"/>
      <c r="AR86" s="477"/>
      <c r="AS86" s="477"/>
      <c r="AT86" s="477"/>
      <c r="AU86" s="477"/>
      <c r="AV86" s="477"/>
      <c r="AW86" s="477"/>
      <c r="AX86" s="477"/>
      <c r="AY86" s="478"/>
      <c r="AZ86" s="477"/>
      <c r="BA86" s="477"/>
      <c r="BB86" s="477"/>
      <c r="BC86" s="477"/>
      <c r="BD86" s="477"/>
      <c r="BE86" s="477"/>
      <c r="BF86" s="477"/>
      <c r="BG86" s="477"/>
      <c r="BH86" s="478"/>
      <c r="BI86" s="477"/>
      <c r="BJ86" s="477"/>
      <c r="BK86" s="477"/>
      <c r="BL86" s="478"/>
      <c r="BM86" s="478"/>
      <c r="BN86" s="478"/>
      <c r="BO86" s="477"/>
      <c r="BP86" s="477"/>
    </row>
    <row r="87" spans="2:68" ht="14.25" hidden="1" customHeight="1">
      <c r="B87" s="478"/>
      <c r="C87" s="477"/>
      <c r="D87" s="477"/>
      <c r="E87" s="477"/>
      <c r="F87" s="477"/>
      <c r="G87" s="477"/>
      <c r="H87" s="477"/>
      <c r="I87" s="480"/>
      <c r="J87" s="480"/>
      <c r="K87" s="480"/>
      <c r="L87" s="477"/>
      <c r="M87" s="477"/>
      <c r="N87" s="477"/>
      <c r="O87" s="477"/>
      <c r="P87" s="477"/>
      <c r="Q87" s="477"/>
      <c r="R87" s="477"/>
      <c r="S87" s="477"/>
      <c r="T87" s="477"/>
      <c r="U87" s="477"/>
      <c r="V87" s="477"/>
      <c r="W87" s="477"/>
      <c r="X87" s="477"/>
      <c r="Y87" s="477"/>
      <c r="Z87" s="477"/>
      <c r="AA87" s="478"/>
      <c r="AB87" s="478"/>
      <c r="AC87" s="477"/>
      <c r="AD87" s="477"/>
      <c r="AE87" s="477"/>
      <c r="AF87" s="478"/>
      <c r="AG87" s="477"/>
      <c r="AH87" s="477"/>
      <c r="AI87" s="477"/>
      <c r="AJ87" s="478"/>
      <c r="AK87" s="478"/>
      <c r="AL87" s="478"/>
      <c r="AM87" s="477"/>
      <c r="AN87" s="486"/>
      <c r="AO87" s="489"/>
      <c r="AP87" s="484"/>
      <c r="AQ87" s="477"/>
      <c r="AR87" s="477"/>
      <c r="AS87" s="477"/>
      <c r="AT87" s="477"/>
      <c r="AU87" s="477"/>
      <c r="AV87" s="477"/>
      <c r="AW87" s="477"/>
      <c r="AX87" s="477"/>
      <c r="AY87" s="478"/>
      <c r="AZ87" s="477"/>
      <c r="BA87" s="477"/>
      <c r="BB87" s="477"/>
      <c r="BC87" s="477"/>
      <c r="BD87" s="477"/>
      <c r="BE87" s="477"/>
      <c r="BF87" s="477"/>
      <c r="BG87" s="477"/>
      <c r="BH87" s="478"/>
      <c r="BI87" s="477"/>
      <c r="BJ87" s="477"/>
      <c r="BK87" s="477"/>
      <c r="BL87" s="478"/>
      <c r="BM87" s="478"/>
      <c r="BN87" s="478"/>
      <c r="BO87" s="477"/>
      <c r="BP87" s="477"/>
    </row>
    <row r="88" spans="2:68" ht="14.25" hidden="1" customHeight="1">
      <c r="B88" s="478"/>
      <c r="C88" s="477"/>
      <c r="D88" s="477"/>
      <c r="E88" s="477"/>
      <c r="F88" s="477"/>
      <c r="G88" s="477"/>
      <c r="H88" s="477"/>
      <c r="I88" s="480"/>
      <c r="J88" s="480"/>
      <c r="K88" s="480"/>
      <c r="L88" s="477"/>
      <c r="M88" s="477"/>
      <c r="N88" s="477"/>
      <c r="O88" s="477"/>
      <c r="P88" s="477"/>
      <c r="Q88" s="477"/>
      <c r="R88" s="477"/>
      <c r="S88" s="477"/>
      <c r="T88" s="477"/>
      <c r="U88" s="477"/>
      <c r="V88" s="477"/>
      <c r="W88" s="477"/>
      <c r="X88" s="477"/>
      <c r="Y88" s="477"/>
      <c r="Z88" s="477"/>
      <c r="AA88" s="478"/>
      <c r="AB88" s="478"/>
      <c r="AC88" s="477"/>
      <c r="AD88" s="477"/>
      <c r="AE88" s="477"/>
      <c r="AF88" s="478"/>
      <c r="AG88" s="477"/>
      <c r="AH88" s="477"/>
      <c r="AI88" s="477"/>
      <c r="AJ88" s="478"/>
      <c r="AK88" s="478"/>
      <c r="AL88" s="478"/>
      <c r="AM88" s="477"/>
      <c r="AN88" s="486"/>
      <c r="AO88" s="489"/>
      <c r="AP88" s="484"/>
      <c r="AQ88" s="477"/>
      <c r="AR88" s="477"/>
      <c r="AS88" s="477"/>
      <c r="AT88" s="477"/>
      <c r="AU88" s="477"/>
      <c r="AV88" s="477"/>
      <c r="AW88" s="477"/>
      <c r="AX88" s="477"/>
      <c r="AY88" s="478"/>
      <c r="AZ88" s="477"/>
      <c r="BA88" s="477"/>
      <c r="BB88" s="477"/>
      <c r="BC88" s="477"/>
      <c r="BD88" s="477"/>
      <c r="BE88" s="477"/>
      <c r="BF88" s="477"/>
      <c r="BG88" s="477"/>
      <c r="BH88" s="478"/>
      <c r="BI88" s="477"/>
      <c r="BJ88" s="477"/>
      <c r="BK88" s="477"/>
      <c r="BL88" s="478"/>
      <c r="BM88" s="478"/>
      <c r="BN88" s="478"/>
      <c r="BO88" s="477"/>
      <c r="BP88" s="477"/>
    </row>
    <row r="89" spans="2:68" ht="14.25" hidden="1" customHeight="1">
      <c r="B89" s="478"/>
      <c r="C89" s="477"/>
      <c r="D89" s="477"/>
      <c r="E89" s="477"/>
      <c r="F89" s="477"/>
      <c r="G89" s="477"/>
      <c r="H89" s="477"/>
      <c r="I89" s="480"/>
      <c r="J89" s="480"/>
      <c r="K89" s="480"/>
      <c r="L89" s="477"/>
      <c r="M89" s="477"/>
      <c r="N89" s="477"/>
      <c r="O89" s="477"/>
      <c r="P89" s="477"/>
      <c r="Q89" s="477"/>
      <c r="R89" s="477"/>
      <c r="S89" s="477"/>
      <c r="T89" s="477"/>
      <c r="U89" s="477"/>
      <c r="V89" s="477"/>
      <c r="W89" s="477"/>
      <c r="X89" s="477"/>
      <c r="Y89" s="477"/>
      <c r="Z89" s="477"/>
      <c r="AA89" s="478"/>
      <c r="AB89" s="478"/>
      <c r="AC89" s="477"/>
      <c r="AD89" s="477"/>
      <c r="AE89" s="477"/>
      <c r="AF89" s="478"/>
      <c r="AG89" s="477"/>
      <c r="AH89" s="477"/>
      <c r="AI89" s="477"/>
      <c r="AJ89" s="478"/>
      <c r="AK89" s="478"/>
      <c r="AL89" s="478"/>
      <c r="AM89" s="477"/>
      <c r="AN89" s="486"/>
      <c r="AO89" s="489"/>
      <c r="AP89" s="484"/>
      <c r="AQ89" s="477"/>
      <c r="AR89" s="477"/>
      <c r="AS89" s="477"/>
      <c r="AT89" s="477"/>
      <c r="AU89" s="477"/>
      <c r="AV89" s="477"/>
      <c r="AW89" s="477"/>
      <c r="AX89" s="477"/>
      <c r="AY89" s="478"/>
      <c r="AZ89" s="477"/>
      <c r="BA89" s="477"/>
      <c r="BB89" s="477"/>
      <c r="BC89" s="477"/>
      <c r="BD89" s="477"/>
      <c r="BE89" s="477"/>
      <c r="BF89" s="477"/>
      <c r="BG89" s="477"/>
      <c r="BH89" s="478"/>
      <c r="BI89" s="477"/>
      <c r="BJ89" s="477"/>
      <c r="BK89" s="477"/>
      <c r="BL89" s="478"/>
      <c r="BM89" s="478"/>
      <c r="BN89" s="478"/>
      <c r="BO89" s="477"/>
      <c r="BP89" s="477"/>
    </row>
    <row r="90" spans="2:68" ht="14.25" hidden="1" customHeight="1">
      <c r="B90" s="478"/>
      <c r="C90" s="477"/>
      <c r="D90" s="477"/>
      <c r="E90" s="477"/>
      <c r="F90" s="477"/>
      <c r="G90" s="477"/>
      <c r="H90" s="477"/>
      <c r="I90" s="480"/>
      <c r="J90" s="480"/>
      <c r="K90" s="480"/>
      <c r="L90" s="477"/>
      <c r="M90" s="477"/>
      <c r="N90" s="477"/>
      <c r="O90" s="477"/>
      <c r="P90" s="477"/>
      <c r="Q90" s="477"/>
      <c r="R90" s="477"/>
      <c r="S90" s="477"/>
      <c r="T90" s="477"/>
      <c r="U90" s="477"/>
      <c r="V90" s="477"/>
      <c r="W90" s="477"/>
      <c r="X90" s="477"/>
      <c r="Y90" s="477"/>
      <c r="Z90" s="477"/>
      <c r="AA90" s="478"/>
      <c r="AB90" s="478"/>
      <c r="AC90" s="477"/>
      <c r="AD90" s="477"/>
      <c r="AE90" s="477"/>
      <c r="AF90" s="478"/>
      <c r="AG90" s="477"/>
      <c r="AH90" s="477"/>
      <c r="AI90" s="477"/>
      <c r="AJ90" s="478"/>
      <c r="AK90" s="478"/>
      <c r="AL90" s="478"/>
      <c r="AM90" s="477"/>
      <c r="AN90" s="486"/>
      <c r="AO90" s="489"/>
      <c r="AP90" s="484"/>
      <c r="AQ90" s="477"/>
      <c r="AR90" s="477"/>
      <c r="AS90" s="477"/>
      <c r="AT90" s="477"/>
      <c r="AU90" s="477"/>
      <c r="AV90" s="477"/>
      <c r="AW90" s="477"/>
      <c r="AX90" s="477"/>
      <c r="AY90" s="478"/>
      <c r="AZ90" s="477"/>
      <c r="BA90" s="477"/>
      <c r="BB90" s="477"/>
      <c r="BC90" s="477"/>
      <c r="BD90" s="477"/>
      <c r="BE90" s="477"/>
      <c r="BF90" s="477"/>
      <c r="BG90" s="477"/>
      <c r="BH90" s="478"/>
      <c r="BI90" s="477"/>
      <c r="BJ90" s="477"/>
      <c r="BK90" s="477"/>
      <c r="BL90" s="478"/>
      <c r="BM90" s="478"/>
      <c r="BN90" s="478"/>
      <c r="BO90" s="477"/>
      <c r="BP90" s="477"/>
    </row>
    <row r="91" spans="2:68" ht="14.25" hidden="1" customHeight="1">
      <c r="B91" s="478"/>
      <c r="C91" s="477"/>
      <c r="D91" s="477"/>
      <c r="E91" s="477"/>
      <c r="F91" s="477"/>
      <c r="G91" s="477"/>
      <c r="H91" s="477"/>
      <c r="I91" s="480"/>
      <c r="J91" s="480"/>
      <c r="K91" s="480"/>
      <c r="L91" s="477"/>
      <c r="M91" s="477"/>
      <c r="N91" s="477"/>
      <c r="O91" s="477"/>
      <c r="P91" s="477"/>
      <c r="Q91" s="477"/>
      <c r="R91" s="477"/>
      <c r="S91" s="477"/>
      <c r="T91" s="477"/>
      <c r="U91" s="477"/>
      <c r="V91" s="477"/>
      <c r="W91" s="477"/>
      <c r="X91" s="477"/>
      <c r="Y91" s="477"/>
      <c r="Z91" s="477"/>
      <c r="AA91" s="478"/>
      <c r="AB91" s="478"/>
      <c r="AC91" s="477"/>
      <c r="AD91" s="477"/>
      <c r="AE91" s="477"/>
      <c r="AF91" s="478"/>
      <c r="AG91" s="477"/>
      <c r="AH91" s="477"/>
      <c r="AI91" s="477"/>
      <c r="AJ91" s="478"/>
      <c r="AK91" s="478"/>
      <c r="AL91" s="478"/>
      <c r="AM91" s="477"/>
      <c r="AN91" s="486"/>
      <c r="AO91" s="489"/>
      <c r="AP91" s="484"/>
      <c r="AQ91" s="477"/>
      <c r="AR91" s="477"/>
      <c r="AS91" s="477"/>
      <c r="AT91" s="477"/>
      <c r="AU91" s="477"/>
      <c r="AV91" s="477"/>
      <c r="AW91" s="477"/>
      <c r="AX91" s="477"/>
      <c r="AY91" s="478"/>
      <c r="AZ91" s="477"/>
      <c r="BA91" s="477"/>
      <c r="BB91" s="477"/>
      <c r="BC91" s="477"/>
      <c r="BD91" s="477"/>
      <c r="BE91" s="477"/>
      <c r="BF91" s="477"/>
      <c r="BG91" s="477"/>
      <c r="BH91" s="478"/>
      <c r="BI91" s="477"/>
      <c r="BJ91" s="477"/>
      <c r="BK91" s="477"/>
      <c r="BL91" s="478"/>
      <c r="BM91" s="478"/>
      <c r="BN91" s="478"/>
      <c r="BO91" s="477"/>
      <c r="BP91" s="477"/>
    </row>
    <row r="92" spans="2:68" ht="14.25" hidden="1" customHeight="1">
      <c r="B92" s="478"/>
      <c r="C92" s="477"/>
      <c r="D92" s="477"/>
      <c r="E92" s="477"/>
      <c r="F92" s="477"/>
      <c r="G92" s="477"/>
      <c r="H92" s="477"/>
      <c r="I92" s="480"/>
      <c r="J92" s="480"/>
      <c r="K92" s="480"/>
      <c r="L92" s="477"/>
      <c r="M92" s="477"/>
      <c r="N92" s="477"/>
      <c r="O92" s="477"/>
      <c r="P92" s="477"/>
      <c r="Q92" s="477"/>
      <c r="R92" s="477"/>
      <c r="S92" s="477"/>
      <c r="T92" s="477"/>
      <c r="U92" s="477"/>
      <c r="V92" s="477"/>
      <c r="W92" s="477"/>
      <c r="X92" s="477"/>
      <c r="Y92" s="477"/>
      <c r="Z92" s="477"/>
      <c r="AA92" s="478"/>
      <c r="AB92" s="478"/>
      <c r="AC92" s="477"/>
      <c r="AD92" s="477"/>
      <c r="AE92" s="477"/>
      <c r="AF92" s="478"/>
      <c r="AG92" s="477"/>
      <c r="AH92" s="477"/>
      <c r="AI92" s="477"/>
      <c r="AJ92" s="478"/>
      <c r="AK92" s="478"/>
      <c r="AL92" s="478"/>
      <c r="AM92" s="477"/>
      <c r="AN92" s="486"/>
      <c r="AO92" s="489"/>
      <c r="AP92" s="484"/>
      <c r="AQ92" s="477"/>
      <c r="AR92" s="477"/>
      <c r="AS92" s="477"/>
      <c r="AT92" s="477"/>
      <c r="AU92" s="477"/>
      <c r="AV92" s="477"/>
      <c r="AW92" s="477"/>
      <c r="AX92" s="477"/>
      <c r="AY92" s="478"/>
      <c r="AZ92" s="477"/>
      <c r="BA92" s="477"/>
      <c r="BB92" s="477"/>
      <c r="BC92" s="477"/>
      <c r="BD92" s="477"/>
      <c r="BE92" s="477"/>
      <c r="BF92" s="477"/>
      <c r="BG92" s="477"/>
      <c r="BH92" s="478"/>
      <c r="BI92" s="477"/>
      <c r="BJ92" s="477"/>
      <c r="BK92" s="477"/>
      <c r="BL92" s="478"/>
      <c r="BM92" s="478"/>
      <c r="BN92" s="478"/>
      <c r="BO92" s="477"/>
      <c r="BP92" s="477"/>
    </row>
    <row r="93" spans="2:68" ht="14.25" hidden="1" customHeight="1">
      <c r="B93" s="478"/>
      <c r="C93" s="477"/>
      <c r="D93" s="477"/>
      <c r="E93" s="477"/>
      <c r="F93" s="477"/>
      <c r="G93" s="477"/>
      <c r="H93" s="477"/>
      <c r="I93" s="480"/>
      <c r="J93" s="480"/>
      <c r="K93" s="480"/>
      <c r="L93" s="477"/>
      <c r="M93" s="477"/>
      <c r="N93" s="477"/>
      <c r="O93" s="477"/>
      <c r="P93" s="477"/>
      <c r="Q93" s="477"/>
      <c r="R93" s="477"/>
      <c r="S93" s="477"/>
      <c r="T93" s="477"/>
      <c r="U93" s="477"/>
      <c r="V93" s="477"/>
      <c r="W93" s="477"/>
      <c r="X93" s="477"/>
      <c r="Y93" s="477"/>
      <c r="Z93" s="477"/>
      <c r="AA93" s="478"/>
      <c r="AB93" s="478"/>
      <c r="AC93" s="477"/>
      <c r="AD93" s="477"/>
      <c r="AE93" s="477"/>
      <c r="AF93" s="478"/>
      <c r="AG93" s="477"/>
      <c r="AH93" s="477"/>
      <c r="AI93" s="477"/>
      <c r="AJ93" s="478"/>
      <c r="AK93" s="478"/>
      <c r="AL93" s="478"/>
      <c r="AM93" s="477"/>
      <c r="AN93" s="486"/>
      <c r="AO93" s="489"/>
      <c r="AP93" s="484"/>
      <c r="AQ93" s="477"/>
      <c r="AR93" s="477"/>
      <c r="AS93" s="477"/>
      <c r="AT93" s="477"/>
      <c r="AU93" s="477"/>
      <c r="AV93" s="477"/>
      <c r="AW93" s="477"/>
      <c r="AX93" s="477"/>
      <c r="AY93" s="478"/>
      <c r="AZ93" s="477"/>
      <c r="BA93" s="477"/>
      <c r="BB93" s="477"/>
      <c r="BC93" s="477"/>
      <c r="BD93" s="477"/>
      <c r="BE93" s="477"/>
      <c r="BF93" s="477"/>
      <c r="BG93" s="477"/>
      <c r="BH93" s="478"/>
      <c r="BI93" s="477"/>
      <c r="BJ93" s="477"/>
      <c r="BK93" s="477"/>
      <c r="BL93" s="478"/>
      <c r="BM93" s="478"/>
      <c r="BN93" s="478"/>
      <c r="BO93" s="477"/>
      <c r="BP93" s="477"/>
    </row>
    <row r="94" spans="2:68" ht="14.25" hidden="1" customHeight="1">
      <c r="B94" s="478"/>
      <c r="C94" s="477"/>
      <c r="D94" s="477"/>
      <c r="E94" s="477"/>
      <c r="F94" s="477"/>
      <c r="G94" s="477"/>
      <c r="H94" s="477"/>
      <c r="I94" s="480"/>
      <c r="J94" s="480"/>
      <c r="K94" s="480"/>
      <c r="L94" s="477"/>
      <c r="M94" s="477"/>
      <c r="N94" s="477"/>
      <c r="O94" s="477"/>
      <c r="P94" s="477"/>
      <c r="Q94" s="477"/>
      <c r="R94" s="477"/>
      <c r="S94" s="477"/>
      <c r="T94" s="477"/>
      <c r="U94" s="477"/>
      <c r="V94" s="477"/>
      <c r="W94" s="477"/>
      <c r="X94" s="477"/>
      <c r="Y94" s="477"/>
      <c r="Z94" s="477"/>
      <c r="AA94" s="478"/>
      <c r="AB94" s="478"/>
      <c r="AC94" s="477"/>
      <c r="AD94" s="477"/>
      <c r="AE94" s="477"/>
      <c r="AF94" s="478"/>
      <c r="AG94" s="477"/>
      <c r="AH94" s="477"/>
      <c r="AI94" s="477"/>
      <c r="AJ94" s="478"/>
      <c r="AK94" s="478"/>
      <c r="AL94" s="478"/>
      <c r="AM94" s="477"/>
      <c r="AN94" s="486"/>
      <c r="AO94" s="489"/>
      <c r="AP94" s="484"/>
      <c r="AQ94" s="477"/>
      <c r="AR94" s="477"/>
      <c r="AS94" s="477"/>
      <c r="AT94" s="477"/>
      <c r="AU94" s="477"/>
      <c r="AV94" s="477"/>
      <c r="AW94" s="477"/>
      <c r="AX94" s="477"/>
      <c r="AY94" s="478"/>
      <c r="AZ94" s="477"/>
      <c r="BA94" s="477"/>
      <c r="BB94" s="477"/>
      <c r="BC94" s="477"/>
      <c r="BD94" s="477"/>
      <c r="BE94" s="477"/>
      <c r="BF94" s="477"/>
      <c r="BG94" s="477"/>
      <c r="BH94" s="478"/>
      <c r="BI94" s="477"/>
      <c r="BJ94" s="477"/>
      <c r="BK94" s="477"/>
      <c r="BL94" s="478"/>
      <c r="BM94" s="478"/>
      <c r="BN94" s="478"/>
      <c r="BO94" s="477"/>
      <c r="BP94" s="477"/>
    </row>
    <row r="95" spans="2:68" ht="14.25" hidden="1" customHeight="1">
      <c r="B95" s="478"/>
      <c r="C95" s="477"/>
      <c r="D95" s="477"/>
      <c r="E95" s="477"/>
      <c r="F95" s="477"/>
      <c r="G95" s="477"/>
      <c r="H95" s="477"/>
      <c r="I95" s="480"/>
      <c r="J95" s="480"/>
      <c r="K95" s="480"/>
      <c r="L95" s="477"/>
      <c r="M95" s="477"/>
      <c r="N95" s="477"/>
      <c r="O95" s="477"/>
      <c r="P95" s="477"/>
      <c r="Q95" s="477"/>
      <c r="R95" s="477"/>
      <c r="S95" s="477"/>
      <c r="T95" s="477"/>
      <c r="U95" s="477"/>
      <c r="V95" s="477"/>
      <c r="W95" s="477"/>
      <c r="X95" s="477"/>
      <c r="Y95" s="477"/>
      <c r="Z95" s="477"/>
      <c r="AA95" s="478"/>
      <c r="AB95" s="478"/>
      <c r="AC95" s="477"/>
      <c r="AD95" s="477"/>
      <c r="AE95" s="477"/>
      <c r="AF95" s="478"/>
      <c r="AG95" s="477"/>
      <c r="AH95" s="477"/>
      <c r="AI95" s="477"/>
      <c r="AJ95" s="478"/>
      <c r="AK95" s="478"/>
      <c r="AL95" s="478"/>
      <c r="AM95" s="477"/>
      <c r="AN95" s="486"/>
      <c r="AO95" s="489"/>
      <c r="AP95" s="484"/>
      <c r="AQ95" s="477"/>
      <c r="AR95" s="477"/>
      <c r="AS95" s="477"/>
      <c r="AT95" s="477"/>
      <c r="AU95" s="477"/>
      <c r="AV95" s="477"/>
      <c r="AW95" s="477"/>
      <c r="AX95" s="477"/>
      <c r="AY95" s="478"/>
      <c r="AZ95" s="477"/>
      <c r="BA95" s="477"/>
      <c r="BB95" s="477"/>
      <c r="BC95" s="477"/>
      <c r="BD95" s="477"/>
      <c r="BE95" s="477"/>
      <c r="BF95" s="477"/>
      <c r="BG95" s="477"/>
      <c r="BH95" s="478"/>
      <c r="BI95" s="477"/>
      <c r="BJ95" s="477"/>
      <c r="BK95" s="477"/>
      <c r="BL95" s="478"/>
      <c r="BM95" s="478"/>
      <c r="BN95" s="478"/>
      <c r="BO95" s="477"/>
      <c r="BP95" s="477"/>
    </row>
    <row r="96" spans="2:68" ht="14.25" hidden="1" customHeight="1">
      <c r="B96" s="478"/>
      <c r="C96" s="477"/>
      <c r="D96" s="477"/>
      <c r="E96" s="477"/>
      <c r="F96" s="477"/>
      <c r="G96" s="477"/>
      <c r="H96" s="477"/>
      <c r="I96" s="480"/>
      <c r="J96" s="480"/>
      <c r="K96" s="480"/>
      <c r="L96" s="477"/>
      <c r="M96" s="477"/>
      <c r="N96" s="477"/>
      <c r="O96" s="477"/>
      <c r="P96" s="477"/>
      <c r="Q96" s="477"/>
      <c r="R96" s="477"/>
      <c r="S96" s="477"/>
      <c r="T96" s="477"/>
      <c r="U96" s="477"/>
      <c r="V96" s="477"/>
      <c r="W96" s="477"/>
      <c r="X96" s="477"/>
      <c r="Y96" s="477"/>
      <c r="Z96" s="477"/>
      <c r="AA96" s="478"/>
      <c r="AB96" s="478"/>
      <c r="AC96" s="477"/>
      <c r="AD96" s="477"/>
      <c r="AE96" s="477"/>
      <c r="AF96" s="478"/>
      <c r="AG96" s="477"/>
      <c r="AH96" s="477"/>
      <c r="AI96" s="477"/>
      <c r="AJ96" s="478"/>
      <c r="AK96" s="478"/>
      <c r="AL96" s="478"/>
      <c r="AM96" s="477"/>
      <c r="AN96" s="486"/>
      <c r="AO96" s="489"/>
      <c r="AP96" s="484"/>
      <c r="AQ96" s="477"/>
      <c r="AR96" s="477"/>
      <c r="AS96" s="477"/>
      <c r="AT96" s="477"/>
      <c r="AU96" s="477"/>
      <c r="AV96" s="477"/>
      <c r="AW96" s="477"/>
      <c r="AX96" s="477"/>
      <c r="AY96" s="478"/>
      <c r="AZ96" s="477"/>
      <c r="BA96" s="477"/>
      <c r="BB96" s="477"/>
      <c r="BC96" s="477"/>
      <c r="BD96" s="477"/>
      <c r="BE96" s="477"/>
      <c r="BF96" s="477"/>
      <c r="BG96" s="477"/>
      <c r="BH96" s="478"/>
      <c r="BI96" s="477"/>
      <c r="BJ96" s="477"/>
      <c r="BK96" s="477"/>
      <c r="BL96" s="478"/>
      <c r="BM96" s="478"/>
      <c r="BN96" s="478"/>
      <c r="BO96" s="477"/>
      <c r="BP96" s="477"/>
    </row>
    <row r="97" spans="2:68" ht="14.25" hidden="1" customHeight="1">
      <c r="B97" s="478"/>
      <c r="C97" s="477"/>
      <c r="D97" s="477"/>
      <c r="E97" s="477"/>
      <c r="F97" s="477"/>
      <c r="G97" s="477"/>
      <c r="H97" s="477"/>
      <c r="I97" s="480"/>
      <c r="J97" s="480"/>
      <c r="K97" s="480"/>
      <c r="L97" s="477"/>
      <c r="M97" s="477"/>
      <c r="N97" s="477"/>
      <c r="O97" s="477"/>
      <c r="P97" s="477"/>
      <c r="Q97" s="477"/>
      <c r="R97" s="477"/>
      <c r="S97" s="477"/>
      <c r="T97" s="477"/>
      <c r="U97" s="477"/>
      <c r="V97" s="477"/>
      <c r="W97" s="477"/>
      <c r="X97" s="477"/>
      <c r="Y97" s="477"/>
      <c r="Z97" s="477"/>
      <c r="AA97" s="478"/>
      <c r="AB97" s="478"/>
      <c r="AC97" s="477"/>
      <c r="AD97" s="477"/>
      <c r="AE97" s="477"/>
      <c r="AF97" s="478"/>
      <c r="AG97" s="477"/>
      <c r="AH97" s="477"/>
      <c r="AI97" s="477"/>
      <c r="AJ97" s="478"/>
      <c r="AK97" s="478"/>
      <c r="AL97" s="478"/>
      <c r="AM97" s="477"/>
      <c r="AN97" s="486"/>
      <c r="AO97" s="489"/>
      <c r="AP97" s="484"/>
      <c r="AQ97" s="477"/>
      <c r="AR97" s="477"/>
      <c r="AS97" s="477"/>
      <c r="AT97" s="477"/>
      <c r="AU97" s="477"/>
      <c r="AV97" s="477"/>
      <c r="AW97" s="477"/>
      <c r="AX97" s="477"/>
      <c r="AY97" s="478"/>
      <c r="AZ97" s="477"/>
      <c r="BA97" s="477"/>
      <c r="BB97" s="477"/>
      <c r="BC97" s="477"/>
      <c r="BD97" s="477"/>
      <c r="BE97" s="477"/>
      <c r="BF97" s="477"/>
      <c r="BG97" s="477"/>
      <c r="BH97" s="478"/>
      <c r="BI97" s="477"/>
      <c r="BJ97" s="477"/>
      <c r="BK97" s="477"/>
      <c r="BL97" s="478"/>
      <c r="BM97" s="478"/>
      <c r="BN97" s="478"/>
      <c r="BO97" s="477"/>
      <c r="BP97" s="477"/>
    </row>
    <row r="98" spans="2:68" ht="14.25" hidden="1" customHeight="1">
      <c r="B98" s="478"/>
      <c r="C98" s="477"/>
      <c r="D98" s="477"/>
      <c r="E98" s="477"/>
      <c r="F98" s="477"/>
      <c r="G98" s="477"/>
      <c r="H98" s="477"/>
      <c r="I98" s="480"/>
      <c r="J98" s="480"/>
      <c r="K98" s="480"/>
      <c r="L98" s="477"/>
      <c r="M98" s="477"/>
      <c r="N98" s="477"/>
      <c r="O98" s="477"/>
      <c r="P98" s="477"/>
      <c r="Q98" s="477"/>
      <c r="R98" s="477"/>
      <c r="S98" s="477"/>
      <c r="T98" s="477"/>
      <c r="U98" s="477"/>
      <c r="V98" s="477"/>
      <c r="W98" s="477"/>
      <c r="X98" s="477"/>
      <c r="Y98" s="477"/>
      <c r="Z98" s="477"/>
      <c r="AA98" s="478"/>
      <c r="AB98" s="478"/>
      <c r="AC98" s="477"/>
      <c r="AD98" s="477"/>
      <c r="AE98" s="477"/>
      <c r="AF98" s="478"/>
      <c r="AG98" s="477"/>
      <c r="AH98" s="477"/>
      <c r="AI98" s="477"/>
      <c r="AJ98" s="478"/>
      <c r="AK98" s="478"/>
      <c r="AL98" s="478"/>
      <c r="AM98" s="477"/>
      <c r="AN98" s="486"/>
      <c r="AO98" s="489"/>
      <c r="AP98" s="484"/>
      <c r="AQ98" s="477"/>
      <c r="AR98" s="477"/>
      <c r="AS98" s="477"/>
      <c r="AT98" s="477"/>
      <c r="AU98" s="477"/>
      <c r="AV98" s="477"/>
      <c r="AW98" s="477"/>
      <c r="AX98" s="477"/>
      <c r="AY98" s="478"/>
      <c r="AZ98" s="477"/>
      <c r="BA98" s="477"/>
      <c r="BB98" s="477"/>
      <c r="BC98" s="477"/>
      <c r="BD98" s="477"/>
      <c r="BE98" s="477"/>
      <c r="BF98" s="477"/>
      <c r="BG98" s="477"/>
      <c r="BH98" s="478"/>
      <c r="BI98" s="477"/>
      <c r="BJ98" s="477"/>
      <c r="BK98" s="477"/>
      <c r="BL98" s="478"/>
      <c r="BM98" s="478"/>
      <c r="BN98" s="478"/>
      <c r="BO98" s="477"/>
      <c r="BP98" s="477"/>
    </row>
    <row r="99" spans="2:68" ht="14.25" hidden="1" customHeight="1">
      <c r="B99" s="478"/>
      <c r="C99" s="477"/>
      <c r="D99" s="477"/>
      <c r="E99" s="477"/>
      <c r="F99" s="477"/>
      <c r="G99" s="477"/>
      <c r="H99" s="477"/>
      <c r="I99" s="480"/>
      <c r="J99" s="480"/>
      <c r="K99" s="480"/>
      <c r="L99" s="477"/>
      <c r="M99" s="477"/>
      <c r="N99" s="477"/>
      <c r="O99" s="477"/>
      <c r="P99" s="477"/>
      <c r="Q99" s="477"/>
      <c r="R99" s="477"/>
      <c r="S99" s="477"/>
      <c r="T99" s="477"/>
      <c r="U99" s="477"/>
      <c r="V99" s="477"/>
      <c r="W99" s="477"/>
      <c r="X99" s="477"/>
      <c r="Y99" s="477"/>
      <c r="Z99" s="477"/>
      <c r="AA99" s="478"/>
      <c r="AB99" s="478"/>
      <c r="AC99" s="477"/>
      <c r="AD99" s="477"/>
      <c r="AE99" s="477"/>
      <c r="AF99" s="478"/>
      <c r="AG99" s="477"/>
      <c r="AH99" s="477"/>
      <c r="AI99" s="477"/>
      <c r="AJ99" s="478"/>
      <c r="AK99" s="478"/>
      <c r="AL99" s="478"/>
      <c r="AM99" s="477"/>
      <c r="AN99" s="486"/>
      <c r="AO99" s="489"/>
      <c r="AP99" s="484"/>
      <c r="AQ99" s="477"/>
      <c r="AR99" s="477"/>
      <c r="AS99" s="477"/>
      <c r="AT99" s="477"/>
      <c r="AU99" s="477"/>
      <c r="AV99" s="477"/>
      <c r="AW99" s="477"/>
      <c r="AX99" s="477"/>
      <c r="AY99" s="478"/>
      <c r="AZ99" s="477"/>
      <c r="BA99" s="477"/>
      <c r="BB99" s="477"/>
      <c r="BC99" s="477"/>
      <c r="BD99" s="477"/>
      <c r="BE99" s="477"/>
      <c r="BF99" s="477"/>
      <c r="BG99" s="477"/>
      <c r="BH99" s="478"/>
      <c r="BI99" s="477"/>
      <c r="BJ99" s="477"/>
      <c r="BK99" s="477"/>
      <c r="BL99" s="478"/>
      <c r="BM99" s="478"/>
      <c r="BN99" s="478"/>
      <c r="BO99" s="477"/>
      <c r="BP99" s="477"/>
    </row>
    <row r="100" spans="2:68" ht="14.25" hidden="1" customHeight="1">
      <c r="B100" s="478"/>
      <c r="C100" s="477"/>
      <c r="D100" s="477"/>
      <c r="E100" s="477"/>
      <c r="F100" s="477"/>
      <c r="G100" s="477"/>
      <c r="H100" s="477"/>
      <c r="I100" s="480"/>
      <c r="J100" s="480"/>
      <c r="K100" s="480"/>
      <c r="L100" s="477"/>
      <c r="M100" s="477"/>
      <c r="N100" s="477"/>
      <c r="O100" s="477"/>
      <c r="P100" s="477"/>
      <c r="Q100" s="477"/>
      <c r="R100" s="477"/>
      <c r="S100" s="477"/>
      <c r="T100" s="477"/>
      <c r="U100" s="477"/>
      <c r="V100" s="477"/>
      <c r="W100" s="477"/>
      <c r="X100" s="477"/>
      <c r="Y100" s="477"/>
      <c r="Z100" s="477"/>
      <c r="AA100" s="478"/>
      <c r="AB100" s="478"/>
      <c r="AC100" s="477"/>
      <c r="AD100" s="477"/>
      <c r="AE100" s="477"/>
      <c r="AF100" s="478"/>
      <c r="AG100" s="477"/>
      <c r="AH100" s="477"/>
      <c r="AI100" s="477"/>
      <c r="AJ100" s="478"/>
      <c r="AK100" s="478"/>
      <c r="AL100" s="478"/>
      <c r="AM100" s="477"/>
      <c r="AN100" s="486"/>
      <c r="AO100" s="489"/>
      <c r="AP100" s="484"/>
      <c r="AQ100" s="477"/>
      <c r="AR100" s="477"/>
      <c r="AS100" s="477"/>
      <c r="AT100" s="477"/>
      <c r="AU100" s="477"/>
      <c r="AV100" s="477"/>
      <c r="AW100" s="477"/>
      <c r="AX100" s="477"/>
      <c r="AY100" s="478"/>
      <c r="AZ100" s="477"/>
      <c r="BA100" s="477"/>
      <c r="BB100" s="477"/>
      <c r="BC100" s="477"/>
      <c r="BD100" s="477"/>
      <c r="BE100" s="477"/>
      <c r="BF100" s="477"/>
      <c r="BG100" s="477"/>
      <c r="BH100" s="478"/>
      <c r="BI100" s="477"/>
      <c r="BJ100" s="477"/>
      <c r="BK100" s="477"/>
      <c r="BL100" s="478"/>
      <c r="BM100" s="478"/>
      <c r="BN100" s="478"/>
      <c r="BO100" s="477"/>
      <c r="BP100" s="477"/>
    </row>
    <row r="101" spans="2:68" ht="14.25" hidden="1" customHeight="1">
      <c r="B101" s="478"/>
      <c r="C101" s="477"/>
      <c r="D101" s="477"/>
      <c r="E101" s="477"/>
      <c r="F101" s="477"/>
      <c r="G101" s="477"/>
      <c r="H101" s="477"/>
      <c r="I101" s="480"/>
      <c r="J101" s="480"/>
      <c r="K101" s="480"/>
      <c r="L101" s="477"/>
      <c r="M101" s="477"/>
      <c r="N101" s="477"/>
      <c r="O101" s="477"/>
      <c r="P101" s="477"/>
      <c r="Q101" s="477"/>
      <c r="R101" s="477"/>
      <c r="S101" s="477"/>
      <c r="T101" s="477"/>
      <c r="U101" s="477"/>
      <c r="V101" s="477"/>
      <c r="W101" s="477"/>
      <c r="X101" s="477"/>
      <c r="Y101" s="477"/>
      <c r="Z101" s="477"/>
      <c r="AA101" s="478"/>
      <c r="AB101" s="478"/>
      <c r="AC101" s="477"/>
      <c r="AD101" s="477"/>
      <c r="AE101" s="477"/>
      <c r="AF101" s="478"/>
      <c r="AG101" s="477"/>
      <c r="AH101" s="477"/>
      <c r="AI101" s="477"/>
      <c r="AJ101" s="478"/>
      <c r="AK101" s="478"/>
      <c r="AL101" s="478"/>
      <c r="AM101" s="477"/>
      <c r="AN101" s="486"/>
      <c r="AO101" s="489"/>
      <c r="AP101" s="484"/>
      <c r="AQ101" s="477"/>
      <c r="AR101" s="477"/>
      <c r="AS101" s="477"/>
      <c r="AT101" s="477"/>
      <c r="AU101" s="477"/>
      <c r="AV101" s="477"/>
      <c r="AW101" s="477"/>
      <c r="AX101" s="477"/>
      <c r="AY101" s="478"/>
      <c r="AZ101" s="477"/>
      <c r="BA101" s="477"/>
      <c r="BB101" s="477"/>
      <c r="BC101" s="477"/>
      <c r="BD101" s="477"/>
      <c r="BE101" s="477"/>
      <c r="BF101" s="477"/>
      <c r="BG101" s="477"/>
      <c r="BH101" s="478"/>
      <c r="BI101" s="477"/>
      <c r="BJ101" s="477"/>
      <c r="BK101" s="477"/>
      <c r="BL101" s="478"/>
      <c r="BM101" s="478"/>
      <c r="BN101" s="478"/>
      <c r="BO101" s="477"/>
      <c r="BP101" s="477"/>
    </row>
    <row r="102" spans="2:68" ht="14.25" hidden="1" customHeight="1">
      <c r="B102" s="478"/>
      <c r="C102" s="477"/>
      <c r="D102" s="477"/>
      <c r="E102" s="477"/>
      <c r="F102" s="477"/>
      <c r="G102" s="477"/>
      <c r="H102" s="477"/>
      <c r="I102" s="480"/>
      <c r="J102" s="480"/>
      <c r="K102" s="480"/>
      <c r="L102" s="477"/>
      <c r="M102" s="477"/>
      <c r="N102" s="477"/>
      <c r="O102" s="477"/>
      <c r="P102" s="477"/>
      <c r="Q102" s="477"/>
      <c r="R102" s="477"/>
      <c r="S102" s="477"/>
      <c r="T102" s="477"/>
      <c r="U102" s="477"/>
      <c r="V102" s="477"/>
      <c r="W102" s="477"/>
      <c r="X102" s="477"/>
      <c r="Y102" s="477"/>
      <c r="Z102" s="477"/>
      <c r="AA102" s="478"/>
      <c r="AB102" s="478"/>
      <c r="AC102" s="477"/>
      <c r="AD102" s="477"/>
      <c r="AE102" s="477"/>
      <c r="AF102" s="478"/>
      <c r="AG102" s="477"/>
      <c r="AH102" s="477"/>
      <c r="AI102" s="477"/>
      <c r="AJ102" s="478"/>
      <c r="AK102" s="478"/>
      <c r="AL102" s="478"/>
      <c r="AM102" s="477"/>
      <c r="AN102" s="486"/>
      <c r="AO102" s="489"/>
      <c r="AP102" s="484"/>
      <c r="AQ102" s="477"/>
      <c r="AR102" s="477"/>
      <c r="AS102" s="477"/>
      <c r="AT102" s="477"/>
      <c r="AU102" s="477"/>
      <c r="AV102" s="477"/>
      <c r="AW102" s="477"/>
      <c r="AX102" s="477"/>
      <c r="AY102" s="478"/>
      <c r="AZ102" s="477"/>
      <c r="BA102" s="477"/>
      <c r="BB102" s="477"/>
      <c r="BC102" s="477"/>
      <c r="BD102" s="477"/>
      <c r="BE102" s="477"/>
      <c r="BF102" s="477"/>
      <c r="BG102" s="477"/>
      <c r="BH102" s="478"/>
      <c r="BI102" s="477"/>
      <c r="BJ102" s="477"/>
      <c r="BK102" s="477"/>
      <c r="BL102" s="478"/>
      <c r="BM102" s="478"/>
      <c r="BN102" s="478"/>
      <c r="BO102" s="477"/>
      <c r="BP102" s="477"/>
    </row>
    <row r="103" spans="2:68" ht="14.25" hidden="1" customHeight="1">
      <c r="B103" s="481"/>
      <c r="C103" s="482"/>
      <c r="D103" s="482"/>
      <c r="E103" s="482"/>
      <c r="F103" s="482"/>
      <c r="G103" s="482"/>
      <c r="H103" s="482"/>
      <c r="I103" s="483"/>
      <c r="J103" s="483"/>
      <c r="K103" s="483"/>
      <c r="L103" s="482"/>
      <c r="M103" s="482"/>
      <c r="N103" s="482"/>
      <c r="O103" s="482"/>
      <c r="P103" s="482"/>
      <c r="Q103" s="482"/>
      <c r="R103" s="482"/>
      <c r="S103" s="482"/>
      <c r="T103" s="482"/>
      <c r="U103" s="482"/>
      <c r="V103" s="482"/>
      <c r="W103" s="482"/>
      <c r="X103" s="482"/>
      <c r="Y103" s="482"/>
      <c r="Z103" s="482"/>
      <c r="AA103" s="481"/>
      <c r="AB103" s="481"/>
      <c r="AC103" s="482"/>
      <c r="AD103" s="482"/>
      <c r="AE103" s="482"/>
      <c r="AF103" s="481"/>
      <c r="AG103" s="482"/>
      <c r="AH103" s="482"/>
      <c r="AI103" s="482"/>
      <c r="AJ103" s="481"/>
      <c r="AK103" s="481"/>
      <c r="AL103" s="481"/>
      <c r="AM103" s="482"/>
      <c r="AN103" s="487"/>
      <c r="AO103" s="490"/>
      <c r="AP103" s="485"/>
      <c r="AQ103" s="482"/>
      <c r="AR103" s="482"/>
      <c r="AS103" s="482"/>
      <c r="AT103" s="482"/>
      <c r="AU103" s="482"/>
      <c r="AV103" s="482"/>
      <c r="AW103" s="482"/>
      <c r="AX103" s="482"/>
      <c r="AY103" s="481"/>
      <c r="AZ103" s="482"/>
      <c r="BA103" s="482"/>
      <c r="BB103" s="482"/>
      <c r="BC103" s="482"/>
      <c r="BD103" s="482"/>
      <c r="BE103" s="482"/>
      <c r="BF103" s="482"/>
      <c r="BG103" s="482"/>
      <c r="BH103" s="481"/>
      <c r="BI103" s="482"/>
      <c r="BJ103" s="482"/>
      <c r="BK103" s="482"/>
      <c r="BL103" s="481"/>
      <c r="BM103" s="481"/>
      <c r="BN103" s="481"/>
      <c r="BO103" s="482"/>
      <c r="BP103" s="482"/>
    </row>
    <row r="104" spans="2:68" ht="14.25" hidden="1" customHeight="1">
      <c r="B104" s="481"/>
      <c r="C104" s="482"/>
      <c r="D104" s="482"/>
      <c r="E104" s="482"/>
      <c r="F104" s="482"/>
      <c r="G104" s="482"/>
      <c r="H104" s="482"/>
      <c r="I104" s="483"/>
      <c r="J104" s="483"/>
      <c r="K104" s="483"/>
      <c r="L104" s="482"/>
      <c r="M104" s="482"/>
      <c r="N104" s="482"/>
      <c r="O104" s="482"/>
      <c r="P104" s="482"/>
      <c r="Q104" s="482"/>
      <c r="R104" s="482"/>
      <c r="S104" s="482"/>
      <c r="T104" s="482"/>
      <c r="U104" s="482"/>
      <c r="V104" s="482"/>
      <c r="W104" s="482"/>
      <c r="X104" s="482"/>
      <c r="Y104" s="482"/>
      <c r="Z104" s="482"/>
      <c r="AA104" s="481"/>
      <c r="AB104" s="481"/>
      <c r="AC104" s="482"/>
      <c r="AD104" s="482"/>
      <c r="AE104" s="482"/>
      <c r="AF104" s="481"/>
      <c r="AG104" s="482"/>
      <c r="AH104" s="482"/>
      <c r="AI104" s="482"/>
      <c r="AJ104" s="481"/>
      <c r="AK104" s="481"/>
      <c r="AL104" s="481"/>
      <c r="AM104" s="482"/>
      <c r="AN104" s="487"/>
      <c r="AO104" s="490"/>
      <c r="AP104" s="485"/>
      <c r="AQ104" s="482"/>
      <c r="AR104" s="482"/>
      <c r="AS104" s="482"/>
      <c r="AT104" s="482"/>
      <c r="AU104" s="482"/>
      <c r="AV104" s="482"/>
      <c r="AW104" s="482"/>
      <c r="AX104" s="482"/>
      <c r="AY104" s="481"/>
      <c r="AZ104" s="482"/>
      <c r="BA104" s="482"/>
      <c r="BB104" s="482"/>
      <c r="BC104" s="482"/>
      <c r="BD104" s="482"/>
      <c r="BE104" s="482"/>
      <c r="BF104" s="482"/>
      <c r="BG104" s="482"/>
      <c r="BH104" s="481"/>
      <c r="BI104" s="482"/>
      <c r="BJ104" s="482"/>
      <c r="BK104" s="482"/>
      <c r="BL104" s="481"/>
      <c r="BM104" s="481"/>
      <c r="BN104" s="481"/>
      <c r="BO104" s="482"/>
      <c r="BP104" s="482"/>
    </row>
    <row r="105" spans="2:68" ht="14.25" hidden="1" customHeight="1">
      <c r="B105" s="481"/>
      <c r="C105" s="482"/>
      <c r="D105" s="482"/>
      <c r="E105" s="482"/>
      <c r="F105" s="482"/>
      <c r="G105" s="482"/>
      <c r="H105" s="482"/>
      <c r="I105" s="483"/>
      <c r="J105" s="483"/>
      <c r="K105" s="483"/>
      <c r="L105" s="482"/>
      <c r="M105" s="482"/>
      <c r="N105" s="482"/>
      <c r="O105" s="482"/>
      <c r="P105" s="482"/>
      <c r="Q105" s="482"/>
      <c r="R105" s="482"/>
      <c r="S105" s="482"/>
      <c r="T105" s="482"/>
      <c r="U105" s="482"/>
      <c r="V105" s="482"/>
      <c r="W105" s="482"/>
      <c r="X105" s="482"/>
      <c r="Y105" s="482"/>
      <c r="Z105" s="482"/>
      <c r="AA105" s="481"/>
      <c r="AB105" s="481"/>
      <c r="AC105" s="482"/>
      <c r="AD105" s="482"/>
      <c r="AE105" s="482"/>
      <c r="AF105" s="481"/>
      <c r="AG105" s="482"/>
      <c r="AH105" s="482"/>
      <c r="AI105" s="482"/>
      <c r="AJ105" s="481"/>
      <c r="AK105" s="481"/>
      <c r="AL105" s="481"/>
      <c r="AM105" s="482"/>
      <c r="AN105" s="487"/>
      <c r="AO105" s="490"/>
      <c r="AP105" s="485"/>
      <c r="AQ105" s="482"/>
      <c r="AR105" s="482"/>
      <c r="AS105" s="482"/>
      <c r="AT105" s="482"/>
      <c r="AU105" s="482"/>
      <c r="AV105" s="482"/>
      <c r="AW105" s="482"/>
      <c r="AX105" s="482"/>
      <c r="AY105" s="481"/>
      <c r="AZ105" s="482"/>
      <c r="BA105" s="482"/>
      <c r="BB105" s="482"/>
      <c r="BC105" s="482"/>
      <c r="BD105" s="482"/>
      <c r="BE105" s="482"/>
      <c r="BF105" s="482"/>
      <c r="BG105" s="482"/>
      <c r="BH105" s="481"/>
      <c r="BI105" s="482"/>
      <c r="BJ105" s="482"/>
      <c r="BK105" s="482"/>
      <c r="BL105" s="481"/>
      <c r="BM105" s="481"/>
      <c r="BN105" s="481"/>
      <c r="BO105" s="482"/>
      <c r="BP105" s="482"/>
    </row>
    <row r="106" spans="2:68" ht="14.25" hidden="1" customHeight="1">
      <c r="B106" s="481"/>
      <c r="C106" s="482"/>
      <c r="D106" s="482"/>
      <c r="E106" s="482"/>
      <c r="F106" s="482"/>
      <c r="G106" s="482"/>
      <c r="H106" s="482"/>
      <c r="I106" s="483"/>
      <c r="J106" s="483"/>
      <c r="K106" s="483"/>
      <c r="L106" s="482"/>
      <c r="M106" s="482"/>
      <c r="N106" s="482"/>
      <c r="O106" s="482"/>
      <c r="P106" s="482"/>
      <c r="Q106" s="482"/>
      <c r="R106" s="482"/>
      <c r="S106" s="482"/>
      <c r="T106" s="482"/>
      <c r="U106" s="482"/>
      <c r="V106" s="482"/>
      <c r="W106" s="482"/>
      <c r="X106" s="482"/>
      <c r="Y106" s="482"/>
      <c r="Z106" s="482"/>
      <c r="AA106" s="481"/>
      <c r="AB106" s="481"/>
      <c r="AC106" s="482"/>
      <c r="AD106" s="482"/>
      <c r="AE106" s="482"/>
      <c r="AF106" s="481"/>
      <c r="AG106" s="482"/>
      <c r="AH106" s="482"/>
      <c r="AI106" s="482"/>
      <c r="AJ106" s="481"/>
      <c r="AK106" s="481"/>
      <c r="AL106" s="481"/>
      <c r="AM106" s="482"/>
      <c r="AN106" s="487"/>
      <c r="AO106" s="490"/>
      <c r="AP106" s="485"/>
      <c r="AQ106" s="482"/>
      <c r="AR106" s="482"/>
      <c r="AS106" s="482"/>
      <c r="AT106" s="482"/>
      <c r="AU106" s="482"/>
      <c r="AV106" s="482"/>
      <c r="AW106" s="482"/>
      <c r="AX106" s="482"/>
      <c r="AY106" s="481"/>
      <c r="AZ106" s="482"/>
      <c r="BA106" s="482"/>
      <c r="BB106" s="482"/>
      <c r="BC106" s="482"/>
      <c r="BD106" s="482"/>
      <c r="BE106" s="482"/>
      <c r="BF106" s="482"/>
      <c r="BG106" s="482"/>
      <c r="BH106" s="481"/>
      <c r="BI106" s="482"/>
      <c r="BJ106" s="482"/>
      <c r="BK106" s="482"/>
      <c r="BL106" s="481"/>
      <c r="BM106" s="481"/>
      <c r="BN106" s="481"/>
      <c r="BO106" s="482"/>
      <c r="BP106" s="482"/>
    </row>
    <row r="107" spans="2:68" ht="14.25" hidden="1" customHeight="1">
      <c r="B107" s="481"/>
      <c r="C107" s="482"/>
      <c r="D107" s="482"/>
      <c r="E107" s="482"/>
      <c r="F107" s="482"/>
      <c r="G107" s="482"/>
      <c r="H107" s="482"/>
      <c r="I107" s="483"/>
      <c r="J107" s="483"/>
      <c r="K107" s="483"/>
      <c r="L107" s="482"/>
      <c r="M107" s="482"/>
      <c r="N107" s="482"/>
      <c r="O107" s="482"/>
      <c r="P107" s="482"/>
      <c r="Q107" s="482"/>
      <c r="R107" s="482"/>
      <c r="S107" s="482"/>
      <c r="T107" s="482"/>
      <c r="U107" s="482"/>
      <c r="V107" s="482"/>
      <c r="W107" s="482"/>
      <c r="X107" s="482"/>
      <c r="Y107" s="482"/>
      <c r="Z107" s="482"/>
      <c r="AA107" s="481"/>
      <c r="AB107" s="481"/>
      <c r="AC107" s="482"/>
      <c r="AD107" s="482"/>
      <c r="AE107" s="482"/>
      <c r="AF107" s="481"/>
      <c r="AG107" s="482"/>
      <c r="AH107" s="482"/>
      <c r="AI107" s="482"/>
      <c r="AJ107" s="481"/>
      <c r="AK107" s="481"/>
      <c r="AL107" s="481"/>
      <c r="AM107" s="482"/>
      <c r="AN107" s="487"/>
      <c r="AO107" s="490"/>
      <c r="AP107" s="485"/>
      <c r="AQ107" s="482"/>
      <c r="AR107" s="482"/>
      <c r="AS107" s="482"/>
      <c r="AT107" s="482"/>
      <c r="AU107" s="482"/>
      <c r="AV107" s="482"/>
      <c r="AW107" s="482"/>
      <c r="AX107" s="482"/>
      <c r="AY107" s="481"/>
      <c r="AZ107" s="482"/>
      <c r="BA107" s="482"/>
      <c r="BB107" s="482"/>
      <c r="BC107" s="482"/>
      <c r="BD107" s="482"/>
      <c r="BE107" s="482"/>
      <c r="BF107" s="482"/>
      <c r="BG107" s="482"/>
      <c r="BH107" s="481"/>
      <c r="BI107" s="482"/>
      <c r="BJ107" s="482"/>
      <c r="BK107" s="482"/>
      <c r="BL107" s="481"/>
      <c r="BM107" s="481"/>
      <c r="BN107" s="481"/>
      <c r="BO107" s="482"/>
      <c r="BP107" s="482"/>
    </row>
    <row r="108" spans="2:68" ht="14.25" hidden="1" customHeight="1">
      <c r="B108" s="481"/>
      <c r="C108" s="482"/>
      <c r="D108" s="482"/>
      <c r="E108" s="482"/>
      <c r="F108" s="482"/>
      <c r="G108" s="482"/>
      <c r="H108" s="482"/>
      <c r="I108" s="483"/>
      <c r="J108" s="483"/>
      <c r="K108" s="483"/>
      <c r="L108" s="482"/>
      <c r="M108" s="482"/>
      <c r="N108" s="482"/>
      <c r="O108" s="482"/>
      <c r="P108" s="482"/>
      <c r="Q108" s="482"/>
      <c r="R108" s="482"/>
      <c r="S108" s="482"/>
      <c r="T108" s="482"/>
      <c r="U108" s="482"/>
      <c r="V108" s="482"/>
      <c r="W108" s="482"/>
      <c r="X108" s="482"/>
      <c r="Y108" s="482"/>
      <c r="Z108" s="482"/>
      <c r="AA108" s="481"/>
      <c r="AB108" s="481"/>
      <c r="AC108" s="482"/>
      <c r="AD108" s="482"/>
      <c r="AE108" s="482"/>
      <c r="AF108" s="481"/>
      <c r="AG108" s="482"/>
      <c r="AH108" s="482"/>
      <c r="AI108" s="482"/>
      <c r="AJ108" s="481"/>
      <c r="AK108" s="481"/>
      <c r="AL108" s="481"/>
      <c r="AM108" s="482"/>
      <c r="AN108" s="487"/>
      <c r="AO108" s="490"/>
      <c r="AP108" s="485"/>
      <c r="AQ108" s="482"/>
      <c r="AR108" s="482"/>
      <c r="AS108" s="482"/>
      <c r="AT108" s="482"/>
      <c r="AU108" s="482"/>
      <c r="AV108" s="482"/>
      <c r="AW108" s="482"/>
      <c r="AX108" s="482"/>
      <c r="AY108" s="481"/>
      <c r="AZ108" s="482"/>
      <c r="BA108" s="482"/>
      <c r="BB108" s="482"/>
      <c r="BC108" s="482"/>
      <c r="BD108" s="482"/>
      <c r="BE108" s="482"/>
      <c r="BF108" s="482"/>
      <c r="BG108" s="482"/>
      <c r="BH108" s="481"/>
      <c r="BI108" s="482"/>
      <c r="BJ108" s="482"/>
      <c r="BK108" s="482"/>
      <c r="BL108" s="481"/>
      <c r="BM108" s="481"/>
      <c r="BN108" s="481"/>
      <c r="BO108" s="482"/>
      <c r="BP108" s="482"/>
    </row>
    <row r="109" spans="2:68" ht="14.25" hidden="1" customHeight="1">
      <c r="B109" s="481"/>
      <c r="C109" s="482"/>
      <c r="D109" s="482"/>
      <c r="E109" s="482"/>
      <c r="F109" s="482"/>
      <c r="G109" s="482"/>
      <c r="H109" s="482"/>
      <c r="I109" s="483"/>
      <c r="J109" s="483"/>
      <c r="K109" s="483"/>
      <c r="L109" s="482"/>
      <c r="M109" s="482"/>
      <c r="N109" s="482"/>
      <c r="O109" s="482"/>
      <c r="P109" s="482"/>
      <c r="Q109" s="482"/>
      <c r="R109" s="482"/>
      <c r="S109" s="482"/>
      <c r="T109" s="482"/>
      <c r="U109" s="482"/>
      <c r="V109" s="482"/>
      <c r="W109" s="482"/>
      <c r="X109" s="482"/>
      <c r="Y109" s="482"/>
      <c r="Z109" s="482"/>
      <c r="AA109" s="481"/>
      <c r="AB109" s="481"/>
      <c r="AC109" s="482"/>
      <c r="AD109" s="482"/>
      <c r="AE109" s="482"/>
      <c r="AF109" s="481"/>
      <c r="AG109" s="482"/>
      <c r="AH109" s="482"/>
      <c r="AI109" s="482"/>
      <c r="AJ109" s="481"/>
      <c r="AK109" s="481"/>
      <c r="AL109" s="481"/>
      <c r="AM109" s="482"/>
      <c r="AN109" s="487"/>
      <c r="AO109" s="490"/>
      <c r="AP109" s="485"/>
      <c r="AQ109" s="482"/>
      <c r="AR109" s="482"/>
      <c r="AS109" s="482"/>
      <c r="AT109" s="482"/>
      <c r="AU109" s="482"/>
      <c r="AV109" s="482"/>
      <c r="AW109" s="482"/>
      <c r="AX109" s="482"/>
      <c r="AY109" s="481"/>
      <c r="AZ109" s="482"/>
      <c r="BA109" s="482"/>
      <c r="BB109" s="482"/>
      <c r="BC109" s="482"/>
      <c r="BD109" s="482"/>
      <c r="BE109" s="482"/>
      <c r="BF109" s="482"/>
      <c r="BG109" s="482"/>
      <c r="BH109" s="481"/>
      <c r="BI109" s="482"/>
      <c r="BJ109" s="482"/>
      <c r="BK109" s="482"/>
      <c r="BL109" s="481"/>
      <c r="BM109" s="481"/>
      <c r="BN109" s="481"/>
      <c r="BO109" s="482"/>
      <c r="BP109" s="482"/>
    </row>
    <row r="110" spans="2:68" ht="14.25" hidden="1" customHeight="1">
      <c r="B110" s="481"/>
      <c r="C110" s="482"/>
      <c r="D110" s="482"/>
      <c r="E110" s="482"/>
      <c r="F110" s="482"/>
      <c r="G110" s="482"/>
      <c r="H110" s="482"/>
      <c r="I110" s="483"/>
      <c r="J110" s="483"/>
      <c r="K110" s="483"/>
      <c r="L110" s="482"/>
      <c r="M110" s="482"/>
      <c r="N110" s="482"/>
      <c r="O110" s="482"/>
      <c r="P110" s="482"/>
      <c r="Q110" s="482"/>
      <c r="R110" s="482"/>
      <c r="S110" s="482"/>
      <c r="T110" s="482"/>
      <c r="U110" s="482"/>
      <c r="V110" s="482"/>
      <c r="W110" s="482"/>
      <c r="X110" s="482"/>
      <c r="Y110" s="482"/>
      <c r="Z110" s="482"/>
      <c r="AA110" s="481"/>
      <c r="AB110" s="481"/>
      <c r="AC110" s="482"/>
      <c r="AD110" s="482"/>
      <c r="AE110" s="482"/>
      <c r="AF110" s="481"/>
      <c r="AG110" s="482"/>
      <c r="AH110" s="482"/>
      <c r="AI110" s="482"/>
      <c r="AJ110" s="481"/>
      <c r="AK110" s="481"/>
      <c r="AL110" s="481"/>
      <c r="AM110" s="482"/>
      <c r="AN110" s="487"/>
      <c r="AO110" s="490"/>
      <c r="AP110" s="485"/>
      <c r="AQ110" s="482"/>
      <c r="AR110" s="482"/>
      <c r="AS110" s="482"/>
      <c r="AT110" s="482"/>
      <c r="AU110" s="482"/>
      <c r="AV110" s="482"/>
      <c r="AW110" s="482"/>
      <c r="AX110" s="482"/>
      <c r="AY110" s="481"/>
      <c r="AZ110" s="482"/>
      <c r="BA110" s="482"/>
      <c r="BB110" s="482"/>
      <c r="BC110" s="482"/>
      <c r="BD110" s="482"/>
      <c r="BE110" s="482"/>
      <c r="BF110" s="482"/>
      <c r="BG110" s="482"/>
      <c r="BH110" s="481"/>
      <c r="BI110" s="482"/>
      <c r="BJ110" s="482"/>
      <c r="BK110" s="482"/>
      <c r="BL110" s="481"/>
      <c r="BM110" s="481"/>
      <c r="BN110" s="481"/>
      <c r="BO110" s="482"/>
      <c r="BP110" s="482"/>
    </row>
    <row r="111" spans="2:68" ht="14.25" hidden="1" customHeight="1">
      <c r="B111" s="481"/>
      <c r="C111" s="482"/>
      <c r="D111" s="482"/>
      <c r="E111" s="482"/>
      <c r="F111" s="482"/>
      <c r="G111" s="482"/>
      <c r="H111" s="482"/>
      <c r="I111" s="483"/>
      <c r="J111" s="483"/>
      <c r="K111" s="483"/>
      <c r="L111" s="482"/>
      <c r="M111" s="482"/>
      <c r="N111" s="482"/>
      <c r="O111" s="482"/>
      <c r="P111" s="482"/>
      <c r="Q111" s="482"/>
      <c r="R111" s="482"/>
      <c r="S111" s="482"/>
      <c r="T111" s="482"/>
      <c r="U111" s="482"/>
      <c r="V111" s="482"/>
      <c r="W111" s="482"/>
      <c r="X111" s="482"/>
      <c r="Y111" s="482"/>
      <c r="Z111" s="482"/>
      <c r="AA111" s="481"/>
      <c r="AB111" s="481"/>
      <c r="AC111" s="482"/>
      <c r="AD111" s="482"/>
      <c r="AE111" s="482"/>
      <c r="AF111" s="481"/>
      <c r="AG111" s="482"/>
      <c r="AH111" s="482"/>
      <c r="AI111" s="482"/>
      <c r="AJ111" s="481"/>
      <c r="AK111" s="481"/>
      <c r="AL111" s="481"/>
      <c r="AM111" s="482"/>
      <c r="AN111" s="487"/>
      <c r="AO111" s="490"/>
      <c r="AP111" s="485"/>
      <c r="AQ111" s="482"/>
      <c r="AR111" s="482"/>
      <c r="AS111" s="482"/>
      <c r="AT111" s="482"/>
      <c r="AU111" s="482"/>
      <c r="AV111" s="482"/>
      <c r="AW111" s="482"/>
      <c r="AX111" s="482"/>
      <c r="AY111" s="481"/>
      <c r="AZ111" s="482"/>
      <c r="BA111" s="482"/>
      <c r="BB111" s="482"/>
      <c r="BC111" s="482"/>
      <c r="BD111" s="482"/>
      <c r="BE111" s="482"/>
      <c r="BF111" s="482"/>
      <c r="BG111" s="482"/>
      <c r="BH111" s="481"/>
      <c r="BI111" s="482"/>
      <c r="BJ111" s="482"/>
      <c r="BK111" s="482"/>
      <c r="BL111" s="481"/>
      <c r="BM111" s="481"/>
      <c r="BN111" s="481"/>
      <c r="BO111" s="482"/>
      <c r="BP111" s="482"/>
    </row>
    <row r="112" spans="2:68" ht="14.25" hidden="1" customHeight="1">
      <c r="B112" s="481"/>
      <c r="C112" s="482"/>
      <c r="D112" s="482"/>
      <c r="E112" s="482"/>
      <c r="F112" s="482"/>
      <c r="G112" s="482"/>
      <c r="H112" s="482"/>
      <c r="I112" s="483"/>
      <c r="J112" s="483"/>
      <c r="K112" s="483"/>
      <c r="L112" s="482"/>
      <c r="M112" s="482"/>
      <c r="N112" s="482"/>
      <c r="O112" s="482"/>
      <c r="P112" s="482"/>
      <c r="Q112" s="482"/>
      <c r="R112" s="482"/>
      <c r="S112" s="482"/>
      <c r="T112" s="482"/>
      <c r="U112" s="482"/>
      <c r="V112" s="482"/>
      <c r="W112" s="482"/>
      <c r="X112" s="482"/>
      <c r="Y112" s="482"/>
      <c r="Z112" s="482"/>
      <c r="AA112" s="481"/>
      <c r="AB112" s="481"/>
      <c r="AC112" s="482"/>
      <c r="AD112" s="482"/>
      <c r="AE112" s="482"/>
      <c r="AF112" s="481"/>
      <c r="AG112" s="482"/>
      <c r="AH112" s="482"/>
      <c r="AI112" s="482"/>
      <c r="AJ112" s="481"/>
      <c r="AK112" s="481"/>
      <c r="AL112" s="481"/>
      <c r="AM112" s="482"/>
      <c r="AN112" s="487"/>
      <c r="AO112" s="490"/>
      <c r="AP112" s="485"/>
      <c r="AQ112" s="482"/>
      <c r="AR112" s="482"/>
      <c r="AS112" s="482"/>
      <c r="AT112" s="482"/>
      <c r="AU112" s="482"/>
      <c r="AV112" s="482"/>
      <c r="AW112" s="482"/>
      <c r="AX112" s="482"/>
      <c r="AY112" s="481"/>
      <c r="AZ112" s="482"/>
      <c r="BA112" s="482"/>
      <c r="BB112" s="482"/>
      <c r="BC112" s="482"/>
      <c r="BD112" s="482"/>
      <c r="BE112" s="482"/>
      <c r="BF112" s="482"/>
      <c r="BG112" s="482"/>
      <c r="BH112" s="481"/>
      <c r="BI112" s="482"/>
      <c r="BJ112" s="482"/>
      <c r="BK112" s="482"/>
      <c r="BL112" s="481"/>
      <c r="BM112" s="481"/>
      <c r="BN112" s="481"/>
      <c r="BO112" s="482"/>
      <c r="BP112" s="482"/>
    </row>
    <row r="113" spans="2:68" ht="14.25" hidden="1" customHeight="1">
      <c r="B113" s="481"/>
      <c r="C113" s="482"/>
      <c r="D113" s="482"/>
      <c r="E113" s="482"/>
      <c r="F113" s="482"/>
      <c r="G113" s="482"/>
      <c r="H113" s="482"/>
      <c r="I113" s="483"/>
      <c r="J113" s="483"/>
      <c r="K113" s="483"/>
      <c r="L113" s="482"/>
      <c r="M113" s="482"/>
      <c r="N113" s="482"/>
      <c r="O113" s="482"/>
      <c r="P113" s="482"/>
      <c r="Q113" s="482"/>
      <c r="R113" s="482"/>
      <c r="S113" s="482"/>
      <c r="T113" s="482"/>
      <c r="U113" s="482"/>
      <c r="V113" s="482"/>
      <c r="W113" s="482"/>
      <c r="X113" s="482"/>
      <c r="Y113" s="482"/>
      <c r="Z113" s="482"/>
      <c r="AA113" s="481"/>
      <c r="AB113" s="481"/>
      <c r="AC113" s="482"/>
      <c r="AD113" s="482"/>
      <c r="AE113" s="482"/>
      <c r="AF113" s="481"/>
      <c r="AG113" s="482"/>
      <c r="AH113" s="482"/>
      <c r="AI113" s="482"/>
      <c r="AJ113" s="481"/>
      <c r="AK113" s="481"/>
      <c r="AL113" s="481"/>
      <c r="AM113" s="482"/>
      <c r="AN113" s="487"/>
      <c r="AO113" s="490"/>
      <c r="AP113" s="485"/>
      <c r="AQ113" s="482"/>
      <c r="AR113" s="482"/>
      <c r="AS113" s="482"/>
      <c r="AT113" s="482"/>
      <c r="AU113" s="482"/>
      <c r="AV113" s="482"/>
      <c r="AW113" s="482"/>
      <c r="AX113" s="482"/>
      <c r="AY113" s="481"/>
      <c r="AZ113" s="482"/>
      <c r="BA113" s="482"/>
      <c r="BB113" s="482"/>
      <c r="BC113" s="482"/>
      <c r="BD113" s="482"/>
      <c r="BE113" s="482"/>
      <c r="BF113" s="482"/>
      <c r="BG113" s="482"/>
      <c r="BH113" s="481"/>
      <c r="BI113" s="482"/>
      <c r="BJ113" s="482"/>
      <c r="BK113" s="482"/>
      <c r="BL113" s="481"/>
      <c r="BM113" s="481"/>
      <c r="BN113" s="481"/>
      <c r="BO113" s="482"/>
      <c r="BP113" s="482"/>
    </row>
    <row r="114" spans="2:68" ht="14.25" hidden="1" customHeight="1">
      <c r="B114" s="481"/>
      <c r="C114" s="482"/>
      <c r="D114" s="482"/>
      <c r="E114" s="482"/>
      <c r="F114" s="482"/>
      <c r="G114" s="482"/>
      <c r="H114" s="482"/>
      <c r="I114" s="483"/>
      <c r="J114" s="483"/>
      <c r="K114" s="483"/>
      <c r="L114" s="482"/>
      <c r="M114" s="482"/>
      <c r="N114" s="482"/>
      <c r="O114" s="482"/>
      <c r="P114" s="482"/>
      <c r="Q114" s="482"/>
      <c r="R114" s="482"/>
      <c r="S114" s="482"/>
      <c r="T114" s="482"/>
      <c r="U114" s="482"/>
      <c r="V114" s="482"/>
      <c r="W114" s="482"/>
      <c r="X114" s="482"/>
      <c r="Y114" s="482"/>
      <c r="Z114" s="482"/>
      <c r="AA114" s="481"/>
      <c r="AB114" s="481"/>
      <c r="AC114" s="482"/>
      <c r="AD114" s="482"/>
      <c r="AE114" s="482"/>
      <c r="AF114" s="481"/>
      <c r="AG114" s="482"/>
      <c r="AH114" s="482"/>
      <c r="AI114" s="482"/>
      <c r="AJ114" s="481"/>
      <c r="AK114" s="481"/>
      <c r="AL114" s="481"/>
      <c r="AM114" s="482"/>
      <c r="AN114" s="487"/>
      <c r="AO114" s="490"/>
      <c r="AP114" s="485"/>
      <c r="AQ114" s="482"/>
      <c r="AR114" s="482"/>
      <c r="AS114" s="482"/>
      <c r="AT114" s="482"/>
      <c r="AU114" s="482"/>
      <c r="AV114" s="482"/>
      <c r="AW114" s="482"/>
      <c r="AX114" s="482"/>
      <c r="AY114" s="481"/>
      <c r="AZ114" s="482"/>
      <c r="BA114" s="482"/>
      <c r="BB114" s="482"/>
      <c r="BC114" s="482"/>
      <c r="BD114" s="482"/>
      <c r="BE114" s="482"/>
      <c r="BF114" s="482"/>
      <c r="BG114" s="482"/>
      <c r="BH114" s="481"/>
      <c r="BI114" s="482"/>
      <c r="BJ114" s="482"/>
      <c r="BK114" s="482"/>
      <c r="BL114" s="481"/>
      <c r="BM114" s="481"/>
      <c r="BN114" s="481"/>
      <c r="BO114" s="482"/>
      <c r="BP114" s="482"/>
    </row>
    <row r="115" spans="2:68" ht="14.25" hidden="1" customHeight="1">
      <c r="B115" s="481"/>
      <c r="C115" s="482"/>
      <c r="D115" s="482"/>
      <c r="E115" s="482"/>
      <c r="F115" s="482"/>
      <c r="G115" s="482"/>
      <c r="H115" s="482"/>
      <c r="I115" s="483"/>
      <c r="J115" s="483"/>
      <c r="K115" s="483"/>
      <c r="L115" s="482"/>
      <c r="M115" s="482"/>
      <c r="N115" s="482"/>
      <c r="O115" s="482"/>
      <c r="P115" s="482"/>
      <c r="Q115" s="482"/>
      <c r="R115" s="482"/>
      <c r="S115" s="482"/>
      <c r="T115" s="482"/>
      <c r="U115" s="482"/>
      <c r="V115" s="482"/>
      <c r="W115" s="482"/>
      <c r="X115" s="482"/>
      <c r="Y115" s="482"/>
      <c r="Z115" s="482"/>
      <c r="AA115" s="481"/>
      <c r="AB115" s="481"/>
      <c r="AC115" s="482"/>
      <c r="AD115" s="482"/>
      <c r="AE115" s="482"/>
      <c r="AF115" s="481"/>
      <c r="AG115" s="482"/>
      <c r="AH115" s="482"/>
      <c r="AI115" s="482"/>
      <c r="AJ115" s="481"/>
      <c r="AK115" s="481"/>
      <c r="AL115" s="481"/>
      <c r="AM115" s="482"/>
      <c r="AN115" s="487"/>
      <c r="AO115" s="490"/>
      <c r="AP115" s="485"/>
      <c r="AQ115" s="482"/>
      <c r="AR115" s="482"/>
      <c r="AS115" s="482"/>
      <c r="AT115" s="482"/>
      <c r="AU115" s="482"/>
      <c r="AV115" s="482"/>
      <c r="AW115" s="482"/>
      <c r="AX115" s="482"/>
      <c r="AY115" s="481"/>
      <c r="AZ115" s="482"/>
      <c r="BA115" s="482"/>
      <c r="BB115" s="482"/>
      <c r="BC115" s="482"/>
      <c r="BD115" s="482"/>
      <c r="BE115" s="482"/>
      <c r="BF115" s="482"/>
      <c r="BG115" s="482"/>
      <c r="BH115" s="481"/>
      <c r="BI115" s="482"/>
      <c r="BJ115" s="482"/>
      <c r="BK115" s="482"/>
      <c r="BL115" s="481"/>
      <c r="BM115" s="481"/>
      <c r="BN115" s="481"/>
      <c r="BO115" s="482"/>
      <c r="BP115" s="482"/>
    </row>
    <row r="116" spans="2:68" ht="14.25" hidden="1" customHeight="1">
      <c r="B116" s="481"/>
      <c r="C116" s="482"/>
      <c r="D116" s="482"/>
      <c r="E116" s="482"/>
      <c r="F116" s="482"/>
      <c r="G116" s="482"/>
      <c r="H116" s="482"/>
      <c r="I116" s="483"/>
      <c r="J116" s="483"/>
      <c r="K116" s="483"/>
      <c r="L116" s="482"/>
      <c r="M116" s="482"/>
      <c r="N116" s="482"/>
      <c r="O116" s="482"/>
      <c r="P116" s="482"/>
      <c r="Q116" s="482"/>
      <c r="R116" s="482"/>
      <c r="S116" s="482"/>
      <c r="T116" s="482"/>
      <c r="U116" s="482"/>
      <c r="V116" s="482"/>
      <c r="W116" s="482"/>
      <c r="X116" s="482"/>
      <c r="Y116" s="482"/>
      <c r="Z116" s="482"/>
      <c r="AA116" s="481"/>
      <c r="AB116" s="481"/>
      <c r="AC116" s="482"/>
      <c r="AD116" s="482"/>
      <c r="AE116" s="482"/>
      <c r="AF116" s="481"/>
      <c r="AG116" s="482"/>
      <c r="AH116" s="482"/>
      <c r="AI116" s="482"/>
      <c r="AJ116" s="481"/>
      <c r="AK116" s="481"/>
      <c r="AL116" s="481"/>
      <c r="AM116" s="482"/>
      <c r="AN116" s="487"/>
      <c r="AO116" s="490"/>
      <c r="AP116" s="485"/>
      <c r="AQ116" s="482"/>
      <c r="AR116" s="482"/>
      <c r="AS116" s="482"/>
      <c r="AT116" s="482"/>
      <c r="AU116" s="482"/>
      <c r="AV116" s="482"/>
      <c r="AW116" s="482"/>
      <c r="AX116" s="482"/>
      <c r="AY116" s="481"/>
      <c r="AZ116" s="482"/>
      <c r="BA116" s="482"/>
      <c r="BB116" s="482"/>
      <c r="BC116" s="482"/>
      <c r="BD116" s="482"/>
      <c r="BE116" s="482"/>
      <c r="BF116" s="482"/>
      <c r="BG116" s="482"/>
      <c r="BH116" s="481"/>
      <c r="BI116" s="482"/>
      <c r="BJ116" s="482"/>
      <c r="BK116" s="482"/>
      <c r="BL116" s="481"/>
      <c r="BM116" s="481"/>
      <c r="BN116" s="481"/>
      <c r="BO116" s="482"/>
      <c r="BP116" s="482"/>
    </row>
    <row r="117" spans="2:68" ht="14.25" hidden="1" customHeight="1">
      <c r="B117" s="481"/>
      <c r="C117" s="482"/>
      <c r="D117" s="482"/>
      <c r="E117" s="482"/>
      <c r="F117" s="482"/>
      <c r="G117" s="482"/>
      <c r="H117" s="482"/>
      <c r="I117" s="483"/>
      <c r="J117" s="483"/>
      <c r="K117" s="483"/>
      <c r="L117" s="482"/>
      <c r="M117" s="482"/>
      <c r="N117" s="482"/>
      <c r="O117" s="482"/>
      <c r="P117" s="482"/>
      <c r="Q117" s="482"/>
      <c r="R117" s="482"/>
      <c r="S117" s="482"/>
      <c r="T117" s="482"/>
      <c r="U117" s="482"/>
      <c r="V117" s="482"/>
      <c r="W117" s="482"/>
      <c r="X117" s="482"/>
      <c r="Y117" s="482"/>
      <c r="Z117" s="482"/>
      <c r="AA117" s="481"/>
      <c r="AB117" s="481"/>
      <c r="AC117" s="482"/>
      <c r="AD117" s="482"/>
      <c r="AE117" s="482"/>
      <c r="AF117" s="481"/>
      <c r="AG117" s="482"/>
      <c r="AH117" s="482"/>
      <c r="AI117" s="482"/>
      <c r="AJ117" s="481"/>
      <c r="AK117" s="481"/>
      <c r="AL117" s="481"/>
      <c r="AM117" s="482"/>
      <c r="AN117" s="487"/>
      <c r="AO117" s="490"/>
      <c r="AP117" s="485"/>
      <c r="AQ117" s="482"/>
      <c r="AR117" s="482"/>
      <c r="AS117" s="482"/>
      <c r="AT117" s="482"/>
      <c r="AU117" s="482"/>
      <c r="AV117" s="482"/>
      <c r="AW117" s="482"/>
      <c r="AX117" s="482"/>
      <c r="AY117" s="481"/>
      <c r="AZ117" s="482"/>
      <c r="BA117" s="482"/>
      <c r="BB117" s="482"/>
      <c r="BC117" s="482"/>
      <c r="BD117" s="482"/>
      <c r="BE117" s="482"/>
      <c r="BF117" s="482"/>
      <c r="BG117" s="482"/>
      <c r="BH117" s="481"/>
      <c r="BI117" s="482"/>
      <c r="BJ117" s="482"/>
      <c r="BK117" s="482"/>
      <c r="BL117" s="481"/>
      <c r="BM117" s="481"/>
      <c r="BN117" s="481"/>
      <c r="BO117" s="482"/>
      <c r="BP117" s="482"/>
    </row>
    <row r="118" spans="2:68" ht="14.25" hidden="1" customHeight="1">
      <c r="B118" s="481"/>
      <c r="C118" s="482"/>
      <c r="D118" s="482"/>
      <c r="E118" s="482"/>
      <c r="F118" s="482"/>
      <c r="G118" s="482"/>
      <c r="H118" s="482"/>
      <c r="I118" s="483"/>
      <c r="J118" s="483"/>
      <c r="K118" s="483"/>
      <c r="L118" s="482"/>
      <c r="M118" s="482"/>
      <c r="N118" s="482"/>
      <c r="O118" s="482"/>
      <c r="P118" s="482"/>
      <c r="Q118" s="482"/>
      <c r="R118" s="482"/>
      <c r="S118" s="482"/>
      <c r="T118" s="482"/>
      <c r="U118" s="482"/>
      <c r="V118" s="482"/>
      <c r="W118" s="482"/>
      <c r="X118" s="482"/>
      <c r="Y118" s="482"/>
      <c r="Z118" s="482"/>
      <c r="AA118" s="481"/>
      <c r="AB118" s="481"/>
      <c r="AC118" s="482"/>
      <c r="AD118" s="482"/>
      <c r="AE118" s="482"/>
      <c r="AF118" s="481"/>
      <c r="AG118" s="482"/>
      <c r="AH118" s="482"/>
      <c r="AI118" s="482"/>
      <c r="AJ118" s="481"/>
      <c r="AK118" s="481"/>
      <c r="AL118" s="481"/>
      <c r="AM118" s="482"/>
      <c r="AN118" s="487"/>
      <c r="AO118" s="490"/>
      <c r="AP118" s="485"/>
      <c r="AQ118" s="482"/>
      <c r="AR118" s="482"/>
      <c r="AS118" s="482"/>
      <c r="AT118" s="482"/>
      <c r="AU118" s="482"/>
      <c r="AV118" s="482"/>
      <c r="AW118" s="482"/>
      <c r="AX118" s="482"/>
      <c r="AY118" s="481"/>
      <c r="AZ118" s="482"/>
      <c r="BA118" s="482"/>
      <c r="BB118" s="482"/>
      <c r="BC118" s="482"/>
      <c r="BD118" s="482"/>
      <c r="BE118" s="482"/>
      <c r="BF118" s="482"/>
      <c r="BG118" s="482"/>
      <c r="BH118" s="481"/>
      <c r="BI118" s="482"/>
      <c r="BJ118" s="482"/>
      <c r="BK118" s="482"/>
      <c r="BL118" s="481"/>
      <c r="BM118" s="481"/>
      <c r="BN118" s="481"/>
      <c r="BO118" s="482"/>
      <c r="BP118" s="482"/>
    </row>
    <row r="119" spans="2:68" ht="14.25" hidden="1" customHeight="1">
      <c r="B119" s="481"/>
      <c r="C119" s="482"/>
      <c r="D119" s="482"/>
      <c r="E119" s="482"/>
      <c r="F119" s="482"/>
      <c r="G119" s="482"/>
      <c r="H119" s="482"/>
      <c r="I119" s="483"/>
      <c r="J119" s="483"/>
      <c r="K119" s="483"/>
      <c r="L119" s="482"/>
      <c r="M119" s="482"/>
      <c r="N119" s="482"/>
      <c r="O119" s="482"/>
      <c r="P119" s="482"/>
      <c r="Q119" s="482"/>
      <c r="R119" s="482"/>
      <c r="S119" s="482"/>
      <c r="T119" s="482"/>
      <c r="U119" s="482"/>
      <c r="V119" s="482"/>
      <c r="W119" s="482"/>
      <c r="X119" s="482"/>
      <c r="Y119" s="482"/>
      <c r="Z119" s="482"/>
      <c r="AA119" s="481"/>
      <c r="AB119" s="481"/>
      <c r="AC119" s="482"/>
      <c r="AD119" s="482"/>
      <c r="AE119" s="482"/>
      <c r="AF119" s="481"/>
      <c r="AG119" s="482"/>
      <c r="AH119" s="482"/>
      <c r="AI119" s="482"/>
      <c r="AJ119" s="481"/>
      <c r="AK119" s="481"/>
      <c r="AL119" s="481"/>
      <c r="AM119" s="482"/>
      <c r="AN119" s="487"/>
      <c r="AO119" s="490"/>
      <c r="AP119" s="485"/>
      <c r="AQ119" s="482"/>
      <c r="AR119" s="482"/>
      <c r="AS119" s="482"/>
      <c r="AT119" s="482"/>
      <c r="AU119" s="482"/>
      <c r="AV119" s="482"/>
      <c r="AW119" s="482"/>
      <c r="AX119" s="482"/>
      <c r="AY119" s="481"/>
      <c r="AZ119" s="482"/>
      <c r="BA119" s="482"/>
      <c r="BB119" s="482"/>
      <c r="BC119" s="482"/>
      <c r="BD119" s="482"/>
      <c r="BE119" s="482"/>
      <c r="BF119" s="482"/>
      <c r="BG119" s="482"/>
      <c r="BH119" s="481"/>
      <c r="BI119" s="482"/>
      <c r="BJ119" s="482"/>
      <c r="BK119" s="482"/>
      <c r="BL119" s="481"/>
      <c r="BM119" s="481"/>
      <c r="BN119" s="481"/>
      <c r="BO119" s="482"/>
      <c r="BP119" s="482"/>
    </row>
    <row r="120" spans="2:68" ht="14.25" hidden="1" customHeight="1">
      <c r="B120" s="481"/>
      <c r="C120" s="482"/>
      <c r="D120" s="482"/>
      <c r="E120" s="482"/>
      <c r="F120" s="482"/>
      <c r="G120" s="482"/>
      <c r="H120" s="482"/>
      <c r="I120" s="483"/>
      <c r="J120" s="483"/>
      <c r="K120" s="483"/>
      <c r="L120" s="482"/>
      <c r="M120" s="482"/>
      <c r="N120" s="482"/>
      <c r="O120" s="482"/>
      <c r="P120" s="482"/>
      <c r="Q120" s="482"/>
      <c r="R120" s="482"/>
      <c r="S120" s="482"/>
      <c r="T120" s="482"/>
      <c r="U120" s="482"/>
      <c r="V120" s="482"/>
      <c r="W120" s="482"/>
      <c r="X120" s="482"/>
      <c r="Y120" s="482"/>
      <c r="Z120" s="482"/>
      <c r="AA120" s="481"/>
      <c r="AB120" s="481"/>
      <c r="AC120" s="482"/>
      <c r="AD120" s="482"/>
      <c r="AE120" s="482"/>
      <c r="AF120" s="481"/>
      <c r="AG120" s="482"/>
      <c r="AH120" s="482"/>
      <c r="AI120" s="482"/>
      <c r="AJ120" s="481"/>
      <c r="AK120" s="481"/>
      <c r="AL120" s="481"/>
      <c r="AM120" s="482"/>
      <c r="AN120" s="487"/>
      <c r="AO120" s="490"/>
      <c r="AP120" s="485"/>
      <c r="AQ120" s="482"/>
      <c r="AR120" s="482"/>
      <c r="AS120" s="482"/>
      <c r="AT120" s="482"/>
      <c r="AU120" s="482"/>
      <c r="AV120" s="482"/>
      <c r="AW120" s="482"/>
      <c r="AX120" s="482"/>
      <c r="AY120" s="481"/>
      <c r="AZ120" s="482"/>
      <c r="BA120" s="482"/>
      <c r="BB120" s="482"/>
      <c r="BC120" s="482"/>
      <c r="BD120" s="482"/>
      <c r="BE120" s="482"/>
      <c r="BF120" s="482"/>
      <c r="BG120" s="482"/>
      <c r="BH120" s="481"/>
      <c r="BI120" s="482"/>
      <c r="BJ120" s="482"/>
      <c r="BK120" s="482"/>
      <c r="BL120" s="481"/>
      <c r="BM120" s="481"/>
      <c r="BN120" s="481"/>
      <c r="BO120" s="482"/>
      <c r="BP120" s="482"/>
    </row>
    <row r="121" spans="2:68" ht="14.25" hidden="1" customHeight="1">
      <c r="B121" s="481"/>
      <c r="C121" s="482"/>
      <c r="D121" s="482"/>
      <c r="E121" s="482"/>
      <c r="F121" s="482"/>
      <c r="G121" s="482"/>
      <c r="H121" s="482"/>
      <c r="I121" s="483"/>
      <c r="J121" s="483"/>
      <c r="K121" s="483"/>
      <c r="L121" s="482"/>
      <c r="M121" s="482"/>
      <c r="N121" s="482"/>
      <c r="O121" s="482"/>
      <c r="P121" s="482"/>
      <c r="Q121" s="482"/>
      <c r="R121" s="482"/>
      <c r="S121" s="482"/>
      <c r="T121" s="482"/>
      <c r="U121" s="482"/>
      <c r="V121" s="482"/>
      <c r="W121" s="482"/>
      <c r="X121" s="482"/>
      <c r="Y121" s="482"/>
      <c r="Z121" s="482"/>
      <c r="AA121" s="481"/>
      <c r="AB121" s="481"/>
      <c r="AC121" s="482"/>
      <c r="AD121" s="482"/>
      <c r="AE121" s="482"/>
      <c r="AF121" s="481"/>
      <c r="AG121" s="482"/>
      <c r="AH121" s="482"/>
      <c r="AI121" s="482"/>
      <c r="AJ121" s="481"/>
      <c r="AK121" s="481"/>
      <c r="AL121" s="481"/>
      <c r="AM121" s="482"/>
      <c r="AN121" s="487"/>
      <c r="AO121" s="490"/>
      <c r="AP121" s="485"/>
      <c r="AQ121" s="482"/>
      <c r="AR121" s="482"/>
      <c r="AS121" s="482"/>
      <c r="AT121" s="482"/>
      <c r="AU121" s="482"/>
      <c r="AV121" s="482"/>
      <c r="AW121" s="482"/>
      <c r="AX121" s="482"/>
      <c r="AY121" s="481"/>
      <c r="AZ121" s="482"/>
      <c r="BA121" s="482"/>
      <c r="BB121" s="482"/>
      <c r="BC121" s="482"/>
      <c r="BD121" s="482"/>
      <c r="BE121" s="482"/>
      <c r="BF121" s="482"/>
      <c r="BG121" s="482"/>
      <c r="BH121" s="481"/>
      <c r="BI121" s="482"/>
      <c r="BJ121" s="482"/>
      <c r="BK121" s="482"/>
      <c r="BL121" s="481"/>
      <c r="BM121" s="481"/>
      <c r="BN121" s="481"/>
      <c r="BO121" s="482"/>
      <c r="BP121" s="482"/>
    </row>
    <row r="122" spans="2:68" ht="14.25" hidden="1" customHeight="1">
      <c r="B122" s="481"/>
      <c r="C122" s="482"/>
      <c r="D122" s="482"/>
      <c r="E122" s="482"/>
      <c r="F122" s="482"/>
      <c r="G122" s="482"/>
      <c r="H122" s="482"/>
      <c r="I122" s="483"/>
      <c r="J122" s="483"/>
      <c r="K122" s="483"/>
      <c r="L122" s="482"/>
      <c r="M122" s="482"/>
      <c r="N122" s="482"/>
      <c r="O122" s="482"/>
      <c r="P122" s="482"/>
      <c r="Q122" s="482"/>
      <c r="R122" s="482"/>
      <c r="S122" s="482"/>
      <c r="T122" s="482"/>
      <c r="U122" s="482"/>
      <c r="V122" s="482"/>
      <c r="W122" s="482"/>
      <c r="X122" s="482"/>
      <c r="Y122" s="482"/>
      <c r="Z122" s="482"/>
      <c r="AA122" s="481"/>
      <c r="AB122" s="481"/>
      <c r="AC122" s="482"/>
      <c r="AD122" s="482"/>
      <c r="AE122" s="482"/>
      <c r="AF122" s="481"/>
      <c r="AG122" s="482"/>
      <c r="AH122" s="482"/>
      <c r="AI122" s="482"/>
      <c r="AJ122" s="481"/>
      <c r="AK122" s="481"/>
      <c r="AL122" s="481"/>
      <c r="AM122" s="482"/>
      <c r="AN122" s="487"/>
      <c r="AO122" s="490"/>
      <c r="AP122" s="485"/>
      <c r="AQ122" s="482"/>
      <c r="AR122" s="482"/>
      <c r="AS122" s="482"/>
      <c r="AT122" s="482"/>
      <c r="AU122" s="482"/>
      <c r="AV122" s="482"/>
      <c r="AW122" s="482"/>
      <c r="AX122" s="482"/>
      <c r="AY122" s="481"/>
      <c r="AZ122" s="482"/>
      <c r="BA122" s="482"/>
      <c r="BB122" s="482"/>
      <c r="BC122" s="482"/>
      <c r="BD122" s="482"/>
      <c r="BE122" s="482"/>
      <c r="BF122" s="482"/>
      <c r="BG122" s="482"/>
      <c r="BH122" s="481"/>
      <c r="BI122" s="482"/>
      <c r="BJ122" s="482"/>
      <c r="BK122" s="482"/>
      <c r="BL122" s="481"/>
      <c r="BM122" s="481"/>
      <c r="BN122" s="481"/>
      <c r="BO122" s="482"/>
      <c r="BP122" s="482"/>
    </row>
    <row r="123" spans="2:68" ht="14.25" hidden="1" customHeight="1">
      <c r="B123" s="481"/>
      <c r="C123" s="482"/>
      <c r="D123" s="482"/>
      <c r="E123" s="482"/>
      <c r="F123" s="482"/>
      <c r="G123" s="482"/>
      <c r="H123" s="482"/>
      <c r="I123" s="483"/>
      <c r="J123" s="483"/>
      <c r="K123" s="483"/>
      <c r="L123" s="482"/>
      <c r="M123" s="482"/>
      <c r="N123" s="482"/>
      <c r="O123" s="482"/>
      <c r="P123" s="482"/>
      <c r="Q123" s="482"/>
      <c r="R123" s="482"/>
      <c r="S123" s="482"/>
      <c r="T123" s="482"/>
      <c r="U123" s="482"/>
      <c r="V123" s="482"/>
      <c r="W123" s="482"/>
      <c r="X123" s="482"/>
      <c r="Y123" s="482"/>
      <c r="Z123" s="482"/>
      <c r="AA123" s="481"/>
      <c r="AB123" s="481"/>
      <c r="AC123" s="482"/>
      <c r="AD123" s="482"/>
      <c r="AE123" s="482"/>
      <c r="AF123" s="481"/>
      <c r="AG123" s="482"/>
      <c r="AH123" s="482"/>
      <c r="AI123" s="482"/>
      <c r="AJ123" s="481"/>
      <c r="AK123" s="481"/>
      <c r="AL123" s="481"/>
      <c r="AM123" s="482"/>
      <c r="AN123" s="487"/>
      <c r="AO123" s="490"/>
      <c r="AP123" s="485"/>
      <c r="AQ123" s="482"/>
      <c r="AR123" s="482"/>
      <c r="AS123" s="482"/>
      <c r="AT123" s="482"/>
      <c r="AU123" s="482"/>
      <c r="AV123" s="482"/>
      <c r="AW123" s="482"/>
      <c r="AX123" s="482"/>
      <c r="AY123" s="481"/>
      <c r="AZ123" s="482"/>
      <c r="BA123" s="482"/>
      <c r="BB123" s="482"/>
      <c r="BC123" s="482"/>
      <c r="BD123" s="482"/>
      <c r="BE123" s="482"/>
      <c r="BF123" s="482"/>
      <c r="BG123" s="482"/>
      <c r="BH123" s="481"/>
      <c r="BI123" s="482"/>
      <c r="BJ123" s="482"/>
      <c r="BK123" s="482"/>
      <c r="BL123" s="481"/>
      <c r="BM123" s="481"/>
      <c r="BN123" s="481"/>
      <c r="BO123" s="482"/>
      <c r="BP123" s="482"/>
    </row>
    <row r="124" spans="2:68" ht="14.25" hidden="1" customHeight="1">
      <c r="B124" s="481"/>
      <c r="C124" s="482"/>
      <c r="D124" s="482"/>
      <c r="E124" s="482"/>
      <c r="F124" s="482"/>
      <c r="G124" s="482"/>
      <c r="H124" s="482"/>
      <c r="I124" s="483"/>
      <c r="J124" s="483"/>
      <c r="K124" s="483"/>
      <c r="L124" s="482"/>
      <c r="M124" s="482"/>
      <c r="N124" s="482"/>
      <c r="O124" s="482"/>
      <c r="P124" s="482"/>
      <c r="Q124" s="482"/>
      <c r="R124" s="482"/>
      <c r="S124" s="482"/>
      <c r="T124" s="482"/>
      <c r="U124" s="482"/>
      <c r="V124" s="482"/>
      <c r="W124" s="482"/>
      <c r="X124" s="482"/>
      <c r="Y124" s="482"/>
      <c r="Z124" s="482"/>
      <c r="AA124" s="481"/>
      <c r="AB124" s="481"/>
      <c r="AC124" s="482"/>
      <c r="AD124" s="482"/>
      <c r="AE124" s="482"/>
      <c r="AF124" s="481"/>
      <c r="AG124" s="482"/>
      <c r="AH124" s="482"/>
      <c r="AI124" s="482"/>
      <c r="AJ124" s="481"/>
      <c r="AK124" s="481"/>
      <c r="AL124" s="481"/>
      <c r="AM124" s="482"/>
      <c r="AN124" s="487"/>
      <c r="AO124" s="490"/>
      <c r="AP124" s="485"/>
      <c r="AQ124" s="482"/>
      <c r="AR124" s="482"/>
      <c r="AS124" s="482"/>
      <c r="AT124" s="482"/>
      <c r="AU124" s="482"/>
      <c r="AV124" s="482"/>
      <c r="AW124" s="482"/>
      <c r="AX124" s="482"/>
      <c r="AY124" s="481"/>
      <c r="AZ124" s="482"/>
      <c r="BA124" s="482"/>
      <c r="BB124" s="482"/>
      <c r="BC124" s="482"/>
      <c r="BD124" s="482"/>
      <c r="BE124" s="482"/>
      <c r="BF124" s="482"/>
      <c r="BG124" s="482"/>
      <c r="BH124" s="481"/>
      <c r="BI124" s="482"/>
      <c r="BJ124" s="482"/>
      <c r="BK124" s="482"/>
      <c r="BL124" s="481"/>
      <c r="BM124" s="481"/>
      <c r="BN124" s="481"/>
      <c r="BO124" s="482"/>
      <c r="BP124" s="482"/>
    </row>
    <row r="125" spans="2:68" ht="14.25" hidden="1" customHeight="1">
      <c r="B125" s="481"/>
      <c r="C125" s="482"/>
      <c r="D125" s="482"/>
      <c r="E125" s="482"/>
      <c r="F125" s="482"/>
      <c r="G125" s="482"/>
      <c r="H125" s="482"/>
      <c r="I125" s="483"/>
      <c r="J125" s="483"/>
      <c r="K125" s="483"/>
      <c r="L125" s="482"/>
      <c r="M125" s="482"/>
      <c r="N125" s="482"/>
      <c r="O125" s="482"/>
      <c r="P125" s="482"/>
      <c r="Q125" s="482"/>
      <c r="R125" s="482"/>
      <c r="S125" s="482"/>
      <c r="T125" s="482"/>
      <c r="U125" s="482"/>
      <c r="V125" s="482"/>
      <c r="W125" s="482"/>
      <c r="X125" s="482"/>
      <c r="Y125" s="482"/>
      <c r="Z125" s="482"/>
      <c r="AA125" s="481"/>
      <c r="AB125" s="481"/>
      <c r="AC125" s="482"/>
      <c r="AD125" s="482"/>
      <c r="AE125" s="482"/>
      <c r="AF125" s="481"/>
      <c r="AG125" s="482"/>
      <c r="AH125" s="482"/>
      <c r="AI125" s="482"/>
      <c r="AJ125" s="481"/>
      <c r="AK125" s="481"/>
      <c r="AL125" s="481"/>
      <c r="AM125" s="482"/>
      <c r="AN125" s="487"/>
      <c r="AO125" s="490"/>
      <c r="AP125" s="485"/>
      <c r="AQ125" s="482"/>
      <c r="AR125" s="482"/>
      <c r="AS125" s="482"/>
      <c r="AT125" s="482"/>
      <c r="AU125" s="482"/>
      <c r="AV125" s="482"/>
      <c r="AW125" s="482"/>
      <c r="AX125" s="482"/>
      <c r="AY125" s="481"/>
      <c r="AZ125" s="482"/>
      <c r="BA125" s="482"/>
      <c r="BB125" s="482"/>
      <c r="BC125" s="482"/>
      <c r="BD125" s="482"/>
      <c r="BE125" s="482"/>
      <c r="BF125" s="482"/>
      <c r="BG125" s="482"/>
      <c r="BH125" s="481"/>
      <c r="BI125" s="482"/>
      <c r="BJ125" s="482"/>
      <c r="BK125" s="482"/>
      <c r="BL125" s="481"/>
      <c r="BM125" s="481"/>
      <c r="BN125" s="481"/>
      <c r="BO125" s="482"/>
      <c r="BP125" s="482"/>
    </row>
    <row r="126" spans="2:68" ht="14.25" hidden="1" customHeight="1">
      <c r="B126" s="481"/>
      <c r="C126" s="482"/>
      <c r="D126" s="482"/>
      <c r="E126" s="482"/>
      <c r="F126" s="482"/>
      <c r="G126" s="482"/>
      <c r="H126" s="482"/>
      <c r="I126" s="483"/>
      <c r="J126" s="483"/>
      <c r="K126" s="483"/>
      <c r="L126" s="482"/>
      <c r="M126" s="482"/>
      <c r="N126" s="482"/>
      <c r="O126" s="482"/>
      <c r="P126" s="482"/>
      <c r="Q126" s="482"/>
      <c r="R126" s="482"/>
      <c r="S126" s="482"/>
      <c r="T126" s="482"/>
      <c r="U126" s="482"/>
      <c r="V126" s="482"/>
      <c r="W126" s="482"/>
      <c r="X126" s="482"/>
      <c r="Y126" s="482"/>
      <c r="Z126" s="482"/>
      <c r="AA126" s="481"/>
      <c r="AB126" s="481"/>
      <c r="AC126" s="482"/>
      <c r="AD126" s="482"/>
      <c r="AE126" s="482"/>
      <c r="AF126" s="481"/>
      <c r="AG126" s="482"/>
      <c r="AH126" s="482"/>
      <c r="AI126" s="482"/>
      <c r="AJ126" s="481"/>
      <c r="AK126" s="481"/>
      <c r="AL126" s="481"/>
      <c r="AM126" s="482"/>
      <c r="AN126" s="487"/>
      <c r="AO126" s="490"/>
      <c r="AP126" s="485"/>
      <c r="AQ126" s="482"/>
      <c r="AR126" s="482"/>
      <c r="AS126" s="482"/>
      <c r="AT126" s="482"/>
      <c r="AU126" s="482"/>
      <c r="AV126" s="482"/>
      <c r="AW126" s="482"/>
      <c r="AX126" s="482"/>
      <c r="AY126" s="481"/>
      <c r="AZ126" s="482"/>
      <c r="BA126" s="482"/>
      <c r="BB126" s="482"/>
      <c r="BC126" s="482"/>
      <c r="BD126" s="482"/>
      <c r="BE126" s="482"/>
      <c r="BF126" s="482"/>
      <c r="BG126" s="482"/>
      <c r="BH126" s="481"/>
      <c r="BI126" s="482"/>
      <c r="BJ126" s="482"/>
      <c r="BK126" s="482"/>
      <c r="BL126" s="481"/>
      <c r="BM126" s="481"/>
      <c r="BN126" s="481"/>
      <c r="BO126" s="482"/>
      <c r="BP126" s="482"/>
    </row>
    <row r="127" spans="2:68" ht="14.25" hidden="1" customHeight="1">
      <c r="B127" s="481"/>
      <c r="C127" s="482"/>
      <c r="D127" s="482"/>
      <c r="E127" s="482"/>
      <c r="F127" s="482"/>
      <c r="G127" s="482"/>
      <c r="H127" s="482"/>
      <c r="I127" s="483"/>
      <c r="J127" s="483"/>
      <c r="K127" s="483"/>
      <c r="L127" s="482"/>
      <c r="M127" s="482"/>
      <c r="N127" s="482"/>
      <c r="O127" s="482"/>
      <c r="P127" s="482"/>
      <c r="Q127" s="482"/>
      <c r="R127" s="482"/>
      <c r="S127" s="482"/>
      <c r="T127" s="482"/>
      <c r="U127" s="482"/>
      <c r="V127" s="482"/>
      <c r="W127" s="482"/>
      <c r="X127" s="482"/>
      <c r="Y127" s="482"/>
      <c r="Z127" s="482"/>
      <c r="AA127" s="481"/>
      <c r="AB127" s="481"/>
      <c r="AC127" s="482"/>
      <c r="AD127" s="482"/>
      <c r="AE127" s="482"/>
      <c r="AF127" s="481"/>
      <c r="AG127" s="482"/>
      <c r="AH127" s="482"/>
      <c r="AI127" s="482"/>
      <c r="AJ127" s="481"/>
      <c r="AK127" s="481"/>
      <c r="AL127" s="481"/>
      <c r="AM127" s="482"/>
      <c r="AN127" s="487"/>
      <c r="AO127" s="490"/>
      <c r="AP127" s="485"/>
      <c r="AQ127" s="482"/>
      <c r="AR127" s="482"/>
      <c r="AS127" s="482"/>
      <c r="AT127" s="482"/>
      <c r="AU127" s="482"/>
      <c r="AV127" s="482"/>
      <c r="AW127" s="482"/>
      <c r="AX127" s="482"/>
      <c r="AY127" s="481"/>
      <c r="AZ127" s="482"/>
      <c r="BA127" s="482"/>
      <c r="BB127" s="482"/>
      <c r="BC127" s="482"/>
      <c r="BD127" s="482"/>
      <c r="BE127" s="482"/>
      <c r="BF127" s="482"/>
      <c r="BG127" s="482"/>
      <c r="BH127" s="481"/>
      <c r="BI127" s="482"/>
      <c r="BJ127" s="482"/>
      <c r="BK127" s="482"/>
      <c r="BL127" s="481"/>
      <c r="BM127" s="481"/>
      <c r="BN127" s="481"/>
      <c r="BO127" s="482"/>
      <c r="BP127" s="482"/>
    </row>
    <row r="128" spans="2:68" ht="14.25" hidden="1" customHeight="1">
      <c r="B128" s="481"/>
      <c r="C128" s="482"/>
      <c r="D128" s="482"/>
      <c r="E128" s="482"/>
      <c r="F128" s="482"/>
      <c r="G128" s="482"/>
      <c r="H128" s="482"/>
      <c r="I128" s="483"/>
      <c r="J128" s="483"/>
      <c r="K128" s="483"/>
      <c r="L128" s="482"/>
      <c r="M128" s="482"/>
      <c r="N128" s="482"/>
      <c r="O128" s="482"/>
      <c r="P128" s="482"/>
      <c r="Q128" s="482"/>
      <c r="R128" s="482"/>
      <c r="S128" s="482"/>
      <c r="T128" s="482"/>
      <c r="U128" s="482"/>
      <c r="V128" s="482"/>
      <c r="W128" s="482"/>
      <c r="X128" s="482"/>
      <c r="Y128" s="482"/>
      <c r="Z128" s="482"/>
      <c r="AA128" s="481"/>
      <c r="AB128" s="481"/>
      <c r="AC128" s="482"/>
      <c r="AD128" s="482"/>
      <c r="AE128" s="482"/>
      <c r="AF128" s="481"/>
      <c r="AG128" s="482"/>
      <c r="AH128" s="482"/>
      <c r="AI128" s="482"/>
      <c r="AJ128" s="481"/>
      <c r="AK128" s="481"/>
      <c r="AL128" s="481"/>
      <c r="AM128" s="482"/>
      <c r="AN128" s="487"/>
      <c r="AO128" s="490"/>
      <c r="AP128" s="485"/>
      <c r="AQ128" s="482"/>
      <c r="AR128" s="482"/>
      <c r="AS128" s="482"/>
      <c r="AT128" s="482"/>
      <c r="AU128" s="482"/>
      <c r="AV128" s="482"/>
      <c r="AW128" s="482"/>
      <c r="AX128" s="482"/>
      <c r="AY128" s="481"/>
      <c r="AZ128" s="482"/>
      <c r="BA128" s="482"/>
      <c r="BB128" s="482"/>
      <c r="BC128" s="482"/>
      <c r="BD128" s="482"/>
      <c r="BE128" s="482"/>
      <c r="BF128" s="482"/>
      <c r="BG128" s="482"/>
      <c r="BH128" s="481"/>
      <c r="BI128" s="482"/>
      <c r="BJ128" s="482"/>
      <c r="BK128" s="482"/>
      <c r="BL128" s="481"/>
      <c r="BM128" s="481"/>
      <c r="BN128" s="481"/>
      <c r="BO128" s="482"/>
      <c r="BP128" s="482"/>
    </row>
    <row r="129" spans="2:68" ht="14.25" hidden="1" customHeight="1">
      <c r="B129" s="481"/>
      <c r="C129" s="482"/>
      <c r="D129" s="482"/>
      <c r="E129" s="482"/>
      <c r="F129" s="482"/>
      <c r="G129" s="482"/>
      <c r="H129" s="482"/>
      <c r="I129" s="483"/>
      <c r="J129" s="483"/>
      <c r="K129" s="483"/>
      <c r="L129" s="482"/>
      <c r="M129" s="482"/>
      <c r="N129" s="482"/>
      <c r="O129" s="482"/>
      <c r="P129" s="482"/>
      <c r="Q129" s="482"/>
      <c r="R129" s="482"/>
      <c r="S129" s="482"/>
      <c r="T129" s="482"/>
      <c r="U129" s="482"/>
      <c r="V129" s="482"/>
      <c r="W129" s="482"/>
      <c r="X129" s="482"/>
      <c r="Y129" s="482"/>
      <c r="Z129" s="482"/>
      <c r="AA129" s="481"/>
      <c r="AB129" s="481"/>
      <c r="AC129" s="482"/>
      <c r="AD129" s="482"/>
      <c r="AE129" s="482"/>
      <c r="AF129" s="481"/>
      <c r="AG129" s="482"/>
      <c r="AH129" s="482"/>
      <c r="AI129" s="482"/>
      <c r="AJ129" s="481"/>
      <c r="AK129" s="481"/>
      <c r="AL129" s="481"/>
      <c r="AM129" s="482"/>
      <c r="AN129" s="487"/>
      <c r="AO129" s="490"/>
      <c r="AP129" s="485"/>
      <c r="AQ129" s="482"/>
      <c r="AR129" s="482"/>
      <c r="AS129" s="482"/>
      <c r="AT129" s="482"/>
      <c r="AU129" s="482"/>
      <c r="AV129" s="482"/>
      <c r="AW129" s="482"/>
      <c r="AX129" s="482"/>
      <c r="AY129" s="481"/>
      <c r="AZ129" s="482"/>
      <c r="BA129" s="482"/>
      <c r="BB129" s="482"/>
      <c r="BC129" s="482"/>
      <c r="BD129" s="482"/>
      <c r="BE129" s="482"/>
      <c r="BF129" s="482"/>
      <c r="BG129" s="482"/>
      <c r="BH129" s="481"/>
      <c r="BI129" s="482"/>
      <c r="BJ129" s="482"/>
      <c r="BK129" s="482"/>
      <c r="BL129" s="481"/>
      <c r="BM129" s="481"/>
      <c r="BN129" s="481"/>
      <c r="BO129" s="482"/>
      <c r="BP129" s="482"/>
    </row>
    <row r="130" spans="2:68" ht="14.25" hidden="1" customHeight="1">
      <c r="B130" s="481"/>
      <c r="C130" s="482"/>
      <c r="D130" s="482"/>
      <c r="E130" s="482"/>
      <c r="F130" s="482"/>
      <c r="G130" s="482"/>
      <c r="H130" s="482"/>
      <c r="I130" s="483"/>
      <c r="J130" s="483"/>
      <c r="K130" s="483"/>
      <c r="L130" s="482"/>
      <c r="M130" s="482"/>
      <c r="N130" s="482"/>
      <c r="O130" s="482"/>
      <c r="P130" s="482"/>
      <c r="Q130" s="482"/>
      <c r="R130" s="482"/>
      <c r="S130" s="482"/>
      <c r="T130" s="482"/>
      <c r="U130" s="482"/>
      <c r="V130" s="482"/>
      <c r="W130" s="482"/>
      <c r="X130" s="482"/>
      <c r="Y130" s="482"/>
      <c r="Z130" s="482"/>
      <c r="AA130" s="481"/>
      <c r="AB130" s="481"/>
      <c r="AC130" s="482"/>
      <c r="AD130" s="482"/>
      <c r="AE130" s="482"/>
      <c r="AF130" s="481"/>
      <c r="AG130" s="482"/>
      <c r="AH130" s="482"/>
      <c r="AI130" s="482"/>
      <c r="AJ130" s="481"/>
      <c r="AK130" s="481"/>
      <c r="AL130" s="481"/>
      <c r="AM130" s="482"/>
      <c r="AN130" s="487"/>
      <c r="AO130" s="490"/>
      <c r="AP130" s="485"/>
      <c r="AQ130" s="482"/>
      <c r="AR130" s="482"/>
      <c r="AS130" s="482"/>
      <c r="AT130" s="482"/>
      <c r="AU130" s="482"/>
      <c r="AV130" s="482"/>
      <c r="AW130" s="482"/>
      <c r="AX130" s="482"/>
      <c r="AY130" s="481"/>
      <c r="AZ130" s="482"/>
      <c r="BA130" s="482"/>
      <c r="BB130" s="482"/>
      <c r="BC130" s="482"/>
      <c r="BD130" s="482"/>
      <c r="BE130" s="482"/>
      <c r="BF130" s="482"/>
      <c r="BG130" s="482"/>
      <c r="BH130" s="481"/>
      <c r="BI130" s="482"/>
      <c r="BJ130" s="482"/>
      <c r="BK130" s="482"/>
      <c r="BL130" s="481"/>
      <c r="BM130" s="481"/>
      <c r="BN130" s="481"/>
      <c r="BO130" s="482"/>
      <c r="BP130" s="482"/>
    </row>
    <row r="131" spans="2:68" ht="14.25" hidden="1" customHeight="1">
      <c r="B131" s="481"/>
      <c r="C131" s="482"/>
      <c r="D131" s="482"/>
      <c r="E131" s="482"/>
      <c r="F131" s="482"/>
      <c r="G131" s="482"/>
      <c r="H131" s="482"/>
      <c r="I131" s="483"/>
      <c r="J131" s="483"/>
      <c r="K131" s="483"/>
      <c r="L131" s="482"/>
      <c r="M131" s="482"/>
      <c r="N131" s="482"/>
      <c r="O131" s="482"/>
      <c r="P131" s="482"/>
      <c r="Q131" s="482"/>
      <c r="R131" s="482"/>
      <c r="S131" s="482"/>
      <c r="T131" s="482"/>
      <c r="U131" s="482"/>
      <c r="V131" s="482"/>
      <c r="W131" s="482"/>
      <c r="X131" s="482"/>
      <c r="Y131" s="482"/>
      <c r="Z131" s="482"/>
      <c r="AA131" s="481"/>
      <c r="AB131" s="481"/>
      <c r="AC131" s="482"/>
      <c r="AD131" s="482"/>
      <c r="AE131" s="482"/>
      <c r="AF131" s="481"/>
      <c r="AG131" s="482"/>
      <c r="AH131" s="482"/>
      <c r="AI131" s="482"/>
      <c r="AJ131" s="481"/>
      <c r="AK131" s="481"/>
      <c r="AL131" s="481"/>
      <c r="AM131" s="482"/>
      <c r="AN131" s="487"/>
      <c r="AO131" s="490"/>
      <c r="AP131" s="485"/>
      <c r="AQ131" s="482"/>
      <c r="AR131" s="482"/>
      <c r="AS131" s="482"/>
      <c r="AT131" s="482"/>
      <c r="AU131" s="482"/>
      <c r="AV131" s="482"/>
      <c r="AW131" s="482"/>
      <c r="AX131" s="482"/>
      <c r="AY131" s="481"/>
      <c r="AZ131" s="482"/>
      <c r="BA131" s="482"/>
      <c r="BB131" s="482"/>
      <c r="BC131" s="482"/>
      <c r="BD131" s="482"/>
      <c r="BE131" s="482"/>
      <c r="BF131" s="482"/>
      <c r="BG131" s="482"/>
      <c r="BH131" s="481"/>
      <c r="BI131" s="482"/>
      <c r="BJ131" s="482"/>
      <c r="BK131" s="482"/>
      <c r="BL131" s="481"/>
      <c r="BM131" s="481"/>
      <c r="BN131" s="481"/>
      <c r="BO131" s="482"/>
      <c r="BP131" s="482"/>
    </row>
    <row r="132" spans="2:68" ht="14.25" hidden="1" customHeight="1">
      <c r="B132" s="481"/>
      <c r="C132" s="482"/>
      <c r="D132" s="482"/>
      <c r="E132" s="482"/>
      <c r="F132" s="482"/>
      <c r="G132" s="482"/>
      <c r="H132" s="482"/>
      <c r="I132" s="483"/>
      <c r="J132" s="483"/>
      <c r="K132" s="483"/>
      <c r="L132" s="482"/>
      <c r="M132" s="482"/>
      <c r="N132" s="482"/>
      <c r="O132" s="482"/>
      <c r="P132" s="482"/>
      <c r="Q132" s="482"/>
      <c r="R132" s="482"/>
      <c r="S132" s="482"/>
      <c r="T132" s="482"/>
      <c r="U132" s="482"/>
      <c r="V132" s="482"/>
      <c r="W132" s="482"/>
      <c r="X132" s="482"/>
      <c r="Y132" s="482"/>
      <c r="Z132" s="482"/>
      <c r="AA132" s="481"/>
      <c r="AB132" s="481"/>
      <c r="AC132" s="482"/>
      <c r="AD132" s="482"/>
      <c r="AE132" s="482"/>
      <c r="AF132" s="481"/>
      <c r="AG132" s="482"/>
      <c r="AH132" s="482"/>
      <c r="AI132" s="482"/>
      <c r="AJ132" s="481"/>
      <c r="AK132" s="481"/>
      <c r="AL132" s="481"/>
      <c r="AM132" s="482"/>
      <c r="AN132" s="487"/>
      <c r="AO132" s="490"/>
      <c r="AP132" s="485"/>
      <c r="AQ132" s="482"/>
      <c r="AR132" s="482"/>
      <c r="AS132" s="482"/>
      <c r="AT132" s="482"/>
      <c r="AU132" s="482"/>
      <c r="AV132" s="482"/>
      <c r="AW132" s="482"/>
      <c r="AX132" s="482"/>
      <c r="AY132" s="481"/>
      <c r="AZ132" s="482"/>
      <c r="BA132" s="482"/>
      <c r="BB132" s="482"/>
      <c r="BC132" s="482"/>
      <c r="BD132" s="482"/>
      <c r="BE132" s="482"/>
      <c r="BF132" s="482"/>
      <c r="BG132" s="482"/>
      <c r="BH132" s="481"/>
      <c r="BI132" s="482"/>
      <c r="BJ132" s="482"/>
      <c r="BK132" s="482"/>
      <c r="BL132" s="481"/>
      <c r="BM132" s="481"/>
      <c r="BN132" s="481"/>
      <c r="BO132" s="482"/>
      <c r="BP132" s="482"/>
    </row>
    <row r="133" spans="2:68" ht="14.25" hidden="1" customHeight="1">
      <c r="B133" s="481"/>
      <c r="C133" s="482"/>
      <c r="D133" s="482"/>
      <c r="E133" s="482"/>
      <c r="F133" s="482"/>
      <c r="G133" s="482"/>
      <c r="H133" s="482"/>
      <c r="I133" s="483"/>
      <c r="J133" s="483"/>
      <c r="K133" s="483"/>
      <c r="L133" s="482"/>
      <c r="M133" s="482"/>
      <c r="N133" s="482"/>
      <c r="O133" s="482"/>
      <c r="P133" s="482"/>
      <c r="Q133" s="482"/>
      <c r="R133" s="482"/>
      <c r="S133" s="482"/>
      <c r="T133" s="482"/>
      <c r="U133" s="482"/>
      <c r="V133" s="482"/>
      <c r="W133" s="482"/>
      <c r="X133" s="482"/>
      <c r="Y133" s="482"/>
      <c r="Z133" s="482"/>
      <c r="AA133" s="481"/>
      <c r="AB133" s="481"/>
      <c r="AC133" s="482"/>
      <c r="AD133" s="482"/>
      <c r="AE133" s="482"/>
      <c r="AF133" s="481"/>
      <c r="AG133" s="482"/>
      <c r="AH133" s="482"/>
      <c r="AI133" s="482"/>
      <c r="AJ133" s="481"/>
      <c r="AK133" s="481"/>
      <c r="AL133" s="481"/>
      <c r="AM133" s="482"/>
      <c r="AN133" s="487"/>
      <c r="AO133" s="490"/>
      <c r="AP133" s="485"/>
      <c r="AQ133" s="482"/>
      <c r="AR133" s="482"/>
      <c r="AS133" s="482"/>
      <c r="AT133" s="482"/>
      <c r="AU133" s="482"/>
      <c r="AV133" s="482"/>
      <c r="AW133" s="482"/>
      <c r="AX133" s="482"/>
      <c r="AY133" s="481"/>
      <c r="AZ133" s="482"/>
      <c r="BA133" s="482"/>
      <c r="BB133" s="482"/>
      <c r="BC133" s="482"/>
      <c r="BD133" s="482"/>
      <c r="BE133" s="482"/>
      <c r="BF133" s="482"/>
      <c r="BG133" s="482"/>
      <c r="BH133" s="481"/>
      <c r="BI133" s="482"/>
      <c r="BJ133" s="482"/>
      <c r="BK133" s="482"/>
      <c r="BL133" s="481"/>
      <c r="BM133" s="481"/>
      <c r="BN133" s="481"/>
      <c r="BO133" s="482"/>
      <c r="BP133" s="482"/>
    </row>
    <row r="134" spans="2:68" ht="14.25" hidden="1" customHeight="1">
      <c r="B134" s="481"/>
      <c r="C134" s="482"/>
      <c r="D134" s="482"/>
      <c r="E134" s="482"/>
      <c r="F134" s="482"/>
      <c r="G134" s="482"/>
      <c r="H134" s="482"/>
      <c r="I134" s="483"/>
      <c r="J134" s="483"/>
      <c r="K134" s="483"/>
      <c r="L134" s="482"/>
      <c r="M134" s="482"/>
      <c r="N134" s="482"/>
      <c r="O134" s="482"/>
      <c r="P134" s="482"/>
      <c r="Q134" s="482"/>
      <c r="R134" s="482"/>
      <c r="S134" s="482"/>
      <c r="T134" s="482"/>
      <c r="U134" s="482"/>
      <c r="V134" s="482"/>
      <c r="W134" s="482"/>
      <c r="X134" s="482"/>
      <c r="Y134" s="482"/>
      <c r="Z134" s="482"/>
      <c r="AA134" s="481"/>
      <c r="AB134" s="481"/>
      <c r="AC134" s="482"/>
      <c r="AD134" s="482"/>
      <c r="AE134" s="482"/>
      <c r="AF134" s="481"/>
      <c r="AG134" s="482"/>
      <c r="AH134" s="482"/>
      <c r="AI134" s="482"/>
      <c r="AJ134" s="481"/>
      <c r="AK134" s="481"/>
      <c r="AL134" s="481"/>
      <c r="AM134" s="482"/>
      <c r="AN134" s="487"/>
      <c r="AO134" s="490"/>
      <c r="AP134" s="485"/>
      <c r="AQ134" s="482"/>
      <c r="AR134" s="482"/>
      <c r="AS134" s="482"/>
      <c r="AT134" s="482"/>
      <c r="AU134" s="482"/>
      <c r="AV134" s="482"/>
      <c r="AW134" s="482"/>
      <c r="AX134" s="482"/>
      <c r="AY134" s="481"/>
      <c r="AZ134" s="482"/>
      <c r="BA134" s="482"/>
      <c r="BB134" s="482"/>
      <c r="BC134" s="482"/>
      <c r="BD134" s="482"/>
      <c r="BE134" s="482"/>
      <c r="BF134" s="482"/>
      <c r="BG134" s="482"/>
      <c r="BH134" s="481"/>
      <c r="BI134" s="482"/>
      <c r="BJ134" s="482"/>
      <c r="BK134" s="482"/>
      <c r="BL134" s="481"/>
      <c r="BM134" s="481"/>
      <c r="BN134" s="481"/>
      <c r="BO134" s="482"/>
      <c r="BP134" s="482"/>
    </row>
    <row r="135" spans="2:68" ht="14.25" hidden="1" customHeight="1">
      <c r="B135" s="481"/>
      <c r="C135" s="482"/>
      <c r="D135" s="482"/>
      <c r="E135" s="482"/>
      <c r="F135" s="482"/>
      <c r="G135" s="482"/>
      <c r="H135" s="482"/>
      <c r="I135" s="483"/>
      <c r="J135" s="483"/>
      <c r="K135" s="483"/>
      <c r="L135" s="482"/>
      <c r="M135" s="482"/>
      <c r="N135" s="482"/>
      <c r="O135" s="482"/>
      <c r="P135" s="482"/>
      <c r="Q135" s="482"/>
      <c r="R135" s="482"/>
      <c r="S135" s="482"/>
      <c r="T135" s="482"/>
      <c r="U135" s="482"/>
      <c r="V135" s="482"/>
      <c r="W135" s="482"/>
      <c r="X135" s="482"/>
      <c r="Y135" s="482"/>
      <c r="Z135" s="482"/>
      <c r="AA135" s="481"/>
      <c r="AB135" s="481"/>
      <c r="AC135" s="482"/>
      <c r="AD135" s="482"/>
      <c r="AE135" s="482"/>
      <c r="AF135" s="481"/>
      <c r="AG135" s="482"/>
      <c r="AH135" s="482"/>
      <c r="AI135" s="482"/>
      <c r="AJ135" s="481"/>
      <c r="AK135" s="481"/>
      <c r="AL135" s="481"/>
      <c r="AM135" s="482"/>
      <c r="AN135" s="487"/>
      <c r="AO135" s="490"/>
      <c r="AP135" s="485"/>
      <c r="AQ135" s="482"/>
      <c r="AR135" s="482"/>
      <c r="AS135" s="482"/>
      <c r="AT135" s="482"/>
      <c r="AU135" s="482"/>
      <c r="AV135" s="482"/>
      <c r="AW135" s="482"/>
      <c r="AX135" s="482"/>
      <c r="AY135" s="481"/>
      <c r="AZ135" s="482"/>
      <c r="BA135" s="482"/>
      <c r="BB135" s="482"/>
      <c r="BC135" s="482"/>
      <c r="BD135" s="482"/>
      <c r="BE135" s="482"/>
      <c r="BF135" s="482"/>
      <c r="BG135" s="482"/>
      <c r="BH135" s="481"/>
      <c r="BI135" s="482"/>
      <c r="BJ135" s="482"/>
      <c r="BK135" s="482"/>
      <c r="BL135" s="481"/>
      <c r="BM135" s="481"/>
      <c r="BN135" s="481"/>
      <c r="BO135" s="482"/>
      <c r="BP135" s="482"/>
    </row>
    <row r="136" spans="2:68" ht="14.25" hidden="1" customHeight="1">
      <c r="B136" s="481"/>
      <c r="C136" s="482"/>
      <c r="D136" s="482"/>
      <c r="E136" s="482"/>
      <c r="F136" s="482"/>
      <c r="G136" s="482"/>
      <c r="H136" s="482"/>
      <c r="I136" s="483"/>
      <c r="J136" s="483"/>
      <c r="K136" s="483"/>
      <c r="L136" s="482"/>
      <c r="M136" s="482"/>
      <c r="N136" s="482"/>
      <c r="O136" s="482"/>
      <c r="P136" s="482"/>
      <c r="Q136" s="482"/>
      <c r="R136" s="482"/>
      <c r="S136" s="482"/>
      <c r="T136" s="482"/>
      <c r="U136" s="482"/>
      <c r="V136" s="482"/>
      <c r="W136" s="482"/>
      <c r="X136" s="482"/>
      <c r="Y136" s="482"/>
      <c r="Z136" s="482"/>
      <c r="AA136" s="481"/>
      <c r="AB136" s="481"/>
      <c r="AC136" s="482"/>
      <c r="AD136" s="482"/>
      <c r="AE136" s="482"/>
      <c r="AF136" s="481"/>
      <c r="AG136" s="482"/>
      <c r="AH136" s="482"/>
      <c r="AI136" s="482"/>
      <c r="AJ136" s="481"/>
      <c r="AK136" s="481"/>
      <c r="AL136" s="481"/>
      <c r="AM136" s="482"/>
      <c r="AN136" s="487"/>
      <c r="AO136" s="490"/>
      <c r="AP136" s="485"/>
      <c r="AQ136" s="482"/>
      <c r="AR136" s="482"/>
      <c r="AS136" s="482"/>
      <c r="AT136" s="482"/>
      <c r="AU136" s="482"/>
      <c r="AV136" s="482"/>
      <c r="AW136" s="482"/>
      <c r="AX136" s="482"/>
      <c r="AY136" s="481"/>
      <c r="AZ136" s="482"/>
      <c r="BA136" s="482"/>
      <c r="BB136" s="482"/>
      <c r="BC136" s="482"/>
      <c r="BD136" s="482"/>
      <c r="BE136" s="482"/>
      <c r="BF136" s="482"/>
      <c r="BG136" s="482"/>
      <c r="BH136" s="481"/>
      <c r="BI136" s="482"/>
      <c r="BJ136" s="482"/>
      <c r="BK136" s="482"/>
      <c r="BL136" s="481"/>
      <c r="BM136" s="481"/>
      <c r="BN136" s="481"/>
      <c r="BO136" s="482"/>
      <c r="BP136" s="482"/>
    </row>
    <row r="137" spans="2:68" ht="14.25" hidden="1" customHeight="1">
      <c r="B137" s="481"/>
      <c r="C137" s="482"/>
      <c r="D137" s="482"/>
      <c r="E137" s="482"/>
      <c r="F137" s="482"/>
      <c r="G137" s="482"/>
      <c r="H137" s="482"/>
      <c r="I137" s="483"/>
      <c r="J137" s="483"/>
      <c r="K137" s="483"/>
      <c r="L137" s="482"/>
      <c r="M137" s="482"/>
      <c r="N137" s="482"/>
      <c r="O137" s="482"/>
      <c r="P137" s="482"/>
      <c r="Q137" s="482"/>
      <c r="R137" s="482"/>
      <c r="S137" s="482"/>
      <c r="T137" s="482"/>
      <c r="U137" s="482"/>
      <c r="V137" s="482"/>
      <c r="W137" s="482"/>
      <c r="X137" s="482"/>
      <c r="Y137" s="482"/>
      <c r="Z137" s="482"/>
      <c r="AA137" s="481"/>
      <c r="AB137" s="481"/>
      <c r="AC137" s="482"/>
      <c r="AD137" s="482"/>
      <c r="AE137" s="482"/>
      <c r="AF137" s="481"/>
      <c r="AG137" s="482"/>
      <c r="AH137" s="482"/>
      <c r="AI137" s="482"/>
      <c r="AJ137" s="481"/>
      <c r="AK137" s="481"/>
      <c r="AL137" s="481"/>
      <c r="AM137" s="482"/>
      <c r="AN137" s="487"/>
      <c r="AO137" s="490"/>
      <c r="AP137" s="485"/>
      <c r="AQ137" s="482"/>
      <c r="AR137" s="482"/>
      <c r="AS137" s="482"/>
      <c r="AT137" s="482"/>
      <c r="AU137" s="482"/>
      <c r="AV137" s="482"/>
      <c r="AW137" s="482"/>
      <c r="AX137" s="482"/>
      <c r="AY137" s="481"/>
      <c r="AZ137" s="482"/>
      <c r="BA137" s="482"/>
      <c r="BB137" s="482"/>
      <c r="BC137" s="482"/>
      <c r="BD137" s="482"/>
      <c r="BE137" s="482"/>
      <c r="BF137" s="482"/>
      <c r="BG137" s="482"/>
      <c r="BH137" s="481"/>
      <c r="BI137" s="482"/>
      <c r="BJ137" s="482"/>
      <c r="BK137" s="482"/>
      <c r="BL137" s="481"/>
      <c r="BM137" s="481"/>
      <c r="BN137" s="481"/>
      <c r="BO137" s="482"/>
      <c r="BP137" s="482"/>
    </row>
    <row r="138" spans="2:68" ht="14.25" hidden="1" customHeight="1">
      <c r="B138" s="481"/>
      <c r="C138" s="482"/>
      <c r="D138" s="482"/>
      <c r="E138" s="482"/>
      <c r="F138" s="482"/>
      <c r="G138" s="482"/>
      <c r="H138" s="482"/>
      <c r="I138" s="483"/>
      <c r="J138" s="483"/>
      <c r="K138" s="483"/>
      <c r="L138" s="482"/>
      <c r="M138" s="482"/>
      <c r="N138" s="482"/>
      <c r="O138" s="482"/>
      <c r="P138" s="482"/>
      <c r="Q138" s="482"/>
      <c r="R138" s="482"/>
      <c r="S138" s="482"/>
      <c r="T138" s="482"/>
      <c r="U138" s="482"/>
      <c r="V138" s="482"/>
      <c r="W138" s="482"/>
      <c r="X138" s="482"/>
      <c r="Y138" s="482"/>
      <c r="Z138" s="482"/>
      <c r="AA138" s="481"/>
      <c r="AB138" s="481"/>
      <c r="AC138" s="482"/>
      <c r="AD138" s="482"/>
      <c r="AE138" s="482"/>
      <c r="AF138" s="481"/>
      <c r="AG138" s="482"/>
      <c r="AH138" s="482"/>
      <c r="AI138" s="482"/>
      <c r="AJ138" s="481"/>
      <c r="AK138" s="481"/>
      <c r="AL138" s="481"/>
      <c r="AM138" s="482"/>
      <c r="AN138" s="487"/>
      <c r="AO138" s="490"/>
      <c r="AP138" s="485"/>
      <c r="AQ138" s="482"/>
      <c r="AR138" s="482"/>
      <c r="AS138" s="482"/>
      <c r="AT138" s="482"/>
      <c r="AU138" s="482"/>
      <c r="AV138" s="482"/>
      <c r="AW138" s="482"/>
      <c r="AX138" s="482"/>
      <c r="AY138" s="481"/>
      <c r="AZ138" s="482"/>
      <c r="BA138" s="482"/>
      <c r="BB138" s="482"/>
      <c r="BC138" s="482"/>
      <c r="BD138" s="482"/>
      <c r="BE138" s="482"/>
      <c r="BF138" s="482"/>
      <c r="BG138" s="482"/>
      <c r="BH138" s="481"/>
      <c r="BI138" s="482"/>
      <c r="BJ138" s="482"/>
      <c r="BK138" s="482"/>
      <c r="BL138" s="481"/>
      <c r="BM138" s="481"/>
      <c r="BN138" s="481"/>
      <c r="BO138" s="482"/>
      <c r="BP138" s="482"/>
    </row>
    <row r="139" spans="2:68" ht="14.25" hidden="1" customHeight="1">
      <c r="B139" s="481"/>
      <c r="C139" s="482"/>
      <c r="D139" s="482"/>
      <c r="E139" s="482"/>
      <c r="F139" s="482"/>
      <c r="G139" s="482"/>
      <c r="H139" s="482"/>
      <c r="I139" s="483"/>
      <c r="J139" s="483"/>
      <c r="K139" s="483"/>
      <c r="L139" s="482"/>
      <c r="M139" s="482"/>
      <c r="N139" s="482"/>
      <c r="O139" s="482"/>
      <c r="P139" s="482"/>
      <c r="Q139" s="482"/>
      <c r="R139" s="482"/>
      <c r="S139" s="482"/>
      <c r="T139" s="482"/>
      <c r="U139" s="482"/>
      <c r="V139" s="482"/>
      <c r="W139" s="482"/>
      <c r="X139" s="482"/>
      <c r="Y139" s="482"/>
      <c r="Z139" s="482"/>
      <c r="AA139" s="481"/>
      <c r="AB139" s="481"/>
      <c r="AC139" s="482"/>
      <c r="AD139" s="482"/>
      <c r="AE139" s="482"/>
      <c r="AF139" s="481"/>
      <c r="AG139" s="482"/>
      <c r="AH139" s="482"/>
      <c r="AI139" s="482"/>
      <c r="AJ139" s="481"/>
      <c r="AK139" s="481"/>
      <c r="AL139" s="481"/>
      <c r="AM139" s="482"/>
      <c r="AN139" s="487"/>
      <c r="AO139" s="490"/>
      <c r="AP139" s="485"/>
      <c r="AQ139" s="482"/>
      <c r="AR139" s="482"/>
      <c r="AS139" s="482"/>
      <c r="AT139" s="482"/>
      <c r="AU139" s="482"/>
      <c r="AV139" s="482"/>
      <c r="AW139" s="482"/>
      <c r="AX139" s="482"/>
      <c r="AY139" s="481"/>
      <c r="AZ139" s="482"/>
      <c r="BA139" s="482"/>
      <c r="BB139" s="482"/>
      <c r="BC139" s="482"/>
      <c r="BD139" s="482"/>
      <c r="BE139" s="482"/>
      <c r="BF139" s="482"/>
      <c r="BG139" s="482"/>
      <c r="BH139" s="481"/>
      <c r="BI139" s="482"/>
      <c r="BJ139" s="482"/>
      <c r="BK139" s="482"/>
      <c r="BL139" s="481"/>
      <c r="BM139" s="481"/>
      <c r="BN139" s="481"/>
      <c r="BO139" s="482"/>
      <c r="BP139" s="482"/>
    </row>
    <row r="140" spans="2:68" ht="14.25" hidden="1" customHeight="1">
      <c r="B140" s="481"/>
      <c r="C140" s="482"/>
      <c r="D140" s="482"/>
      <c r="E140" s="482"/>
      <c r="F140" s="482"/>
      <c r="G140" s="482"/>
      <c r="H140" s="482"/>
      <c r="I140" s="483"/>
      <c r="J140" s="483"/>
      <c r="K140" s="483"/>
      <c r="L140" s="482"/>
      <c r="M140" s="482"/>
      <c r="N140" s="482"/>
      <c r="O140" s="482"/>
      <c r="P140" s="482"/>
      <c r="Q140" s="482"/>
      <c r="R140" s="482"/>
      <c r="S140" s="482"/>
      <c r="T140" s="482"/>
      <c r="U140" s="482"/>
      <c r="V140" s="482"/>
      <c r="W140" s="482"/>
      <c r="X140" s="482"/>
      <c r="Y140" s="482"/>
      <c r="Z140" s="482"/>
      <c r="AA140" s="481"/>
      <c r="AB140" s="481"/>
      <c r="AC140" s="482"/>
      <c r="AD140" s="482"/>
      <c r="AE140" s="482"/>
      <c r="AF140" s="481"/>
      <c r="AG140" s="482"/>
      <c r="AH140" s="482"/>
      <c r="AI140" s="482"/>
      <c r="AJ140" s="481"/>
      <c r="AK140" s="481"/>
      <c r="AL140" s="481"/>
      <c r="AM140" s="482"/>
      <c r="AN140" s="487"/>
      <c r="AO140" s="490"/>
      <c r="AP140" s="485"/>
      <c r="AQ140" s="482"/>
      <c r="AR140" s="482"/>
      <c r="AS140" s="482"/>
      <c r="AT140" s="482"/>
      <c r="AU140" s="482"/>
      <c r="AV140" s="482"/>
      <c r="AW140" s="482"/>
      <c r="AX140" s="482"/>
      <c r="AY140" s="481"/>
      <c r="AZ140" s="482"/>
      <c r="BA140" s="482"/>
      <c r="BB140" s="482"/>
      <c r="BC140" s="482"/>
      <c r="BD140" s="482"/>
      <c r="BE140" s="482"/>
      <c r="BF140" s="482"/>
      <c r="BG140" s="482"/>
      <c r="BH140" s="481"/>
      <c r="BI140" s="482"/>
      <c r="BJ140" s="482"/>
      <c r="BK140" s="482"/>
      <c r="BL140" s="481"/>
      <c r="BM140" s="481"/>
      <c r="BN140" s="481"/>
      <c r="BO140" s="482"/>
      <c r="BP140" s="482"/>
    </row>
    <row r="141" spans="2:68" ht="14.25" hidden="1" customHeight="1">
      <c r="B141" s="481"/>
      <c r="C141" s="482"/>
      <c r="D141" s="482"/>
      <c r="E141" s="482"/>
      <c r="F141" s="482"/>
      <c r="G141" s="482"/>
      <c r="H141" s="482"/>
      <c r="I141" s="483"/>
      <c r="J141" s="483"/>
      <c r="K141" s="483"/>
      <c r="L141" s="482"/>
      <c r="M141" s="482"/>
      <c r="N141" s="482"/>
      <c r="O141" s="482"/>
      <c r="P141" s="482"/>
      <c r="Q141" s="482"/>
      <c r="R141" s="482"/>
      <c r="S141" s="482"/>
      <c r="T141" s="482"/>
      <c r="U141" s="482"/>
      <c r="V141" s="482"/>
      <c r="W141" s="482"/>
      <c r="X141" s="482"/>
      <c r="Y141" s="482"/>
      <c r="Z141" s="482"/>
      <c r="AA141" s="481"/>
      <c r="AB141" s="481"/>
      <c r="AC141" s="482"/>
      <c r="AD141" s="482"/>
      <c r="AE141" s="482"/>
      <c r="AF141" s="481"/>
      <c r="AG141" s="482"/>
      <c r="AH141" s="482"/>
      <c r="AI141" s="482"/>
      <c r="AJ141" s="481"/>
      <c r="AK141" s="481"/>
      <c r="AL141" s="481"/>
      <c r="AM141" s="482"/>
      <c r="AN141" s="487"/>
      <c r="AO141" s="490"/>
      <c r="AP141" s="485"/>
      <c r="AQ141" s="482"/>
      <c r="AR141" s="482"/>
      <c r="AS141" s="482"/>
      <c r="AT141" s="482"/>
      <c r="AU141" s="482"/>
      <c r="AV141" s="482"/>
      <c r="AW141" s="482"/>
      <c r="AX141" s="482"/>
      <c r="AY141" s="481"/>
      <c r="AZ141" s="482"/>
      <c r="BA141" s="482"/>
      <c r="BB141" s="482"/>
      <c r="BC141" s="482"/>
      <c r="BD141" s="482"/>
      <c r="BE141" s="482"/>
      <c r="BF141" s="482"/>
      <c r="BG141" s="482"/>
      <c r="BH141" s="481"/>
      <c r="BI141" s="482"/>
      <c r="BJ141" s="482"/>
      <c r="BK141" s="482"/>
      <c r="BL141" s="481"/>
      <c r="BM141" s="481"/>
      <c r="BN141" s="481"/>
      <c r="BO141" s="482"/>
      <c r="BP141" s="482"/>
    </row>
    <row r="142" spans="2:68" ht="14.25" hidden="1" customHeight="1">
      <c r="B142" s="481"/>
      <c r="C142" s="482"/>
      <c r="D142" s="482"/>
      <c r="E142" s="482"/>
      <c r="F142" s="482"/>
      <c r="G142" s="482"/>
      <c r="H142" s="482"/>
      <c r="I142" s="483"/>
      <c r="J142" s="483"/>
      <c r="K142" s="483"/>
      <c r="L142" s="482"/>
      <c r="M142" s="482"/>
      <c r="N142" s="482"/>
      <c r="O142" s="482"/>
      <c r="P142" s="482"/>
      <c r="Q142" s="482"/>
      <c r="R142" s="482"/>
      <c r="S142" s="482"/>
      <c r="T142" s="482"/>
      <c r="U142" s="482"/>
      <c r="V142" s="482"/>
      <c r="W142" s="482"/>
      <c r="X142" s="482"/>
      <c r="Y142" s="482"/>
      <c r="Z142" s="482"/>
      <c r="AA142" s="481"/>
      <c r="AB142" s="481"/>
      <c r="AC142" s="482"/>
      <c r="AD142" s="482"/>
      <c r="AE142" s="482"/>
      <c r="AF142" s="481"/>
      <c r="AG142" s="482"/>
      <c r="AH142" s="482"/>
      <c r="AI142" s="482"/>
      <c r="AJ142" s="481"/>
      <c r="AK142" s="481"/>
      <c r="AL142" s="481"/>
      <c r="AM142" s="482"/>
      <c r="AN142" s="487"/>
      <c r="AO142" s="490"/>
      <c r="AP142" s="485"/>
      <c r="AQ142" s="482"/>
      <c r="AR142" s="482"/>
      <c r="AS142" s="482"/>
      <c r="AT142" s="482"/>
      <c r="AU142" s="482"/>
      <c r="AV142" s="482"/>
      <c r="AW142" s="482"/>
      <c r="AX142" s="482"/>
      <c r="AY142" s="481"/>
      <c r="AZ142" s="482"/>
      <c r="BA142" s="482"/>
      <c r="BB142" s="482"/>
      <c r="BC142" s="482"/>
      <c r="BD142" s="482"/>
      <c r="BE142" s="482"/>
      <c r="BF142" s="482"/>
      <c r="BG142" s="482"/>
      <c r="BH142" s="481"/>
      <c r="BI142" s="482"/>
      <c r="BJ142" s="482"/>
      <c r="BK142" s="482"/>
      <c r="BL142" s="481"/>
      <c r="BM142" s="481"/>
      <c r="BN142" s="481"/>
      <c r="BO142" s="482"/>
      <c r="BP142" s="482"/>
    </row>
    <row r="143" spans="2:68" ht="14.25" hidden="1" customHeight="1">
      <c r="B143" s="481"/>
      <c r="C143" s="482"/>
      <c r="D143" s="482"/>
      <c r="E143" s="482"/>
      <c r="F143" s="482"/>
      <c r="G143" s="482"/>
      <c r="H143" s="482"/>
      <c r="I143" s="483"/>
      <c r="J143" s="483"/>
      <c r="K143" s="483"/>
      <c r="L143" s="482"/>
      <c r="M143" s="482"/>
      <c r="N143" s="482"/>
      <c r="O143" s="482"/>
      <c r="P143" s="482"/>
      <c r="Q143" s="482"/>
      <c r="R143" s="482"/>
      <c r="S143" s="482"/>
      <c r="T143" s="482"/>
      <c r="U143" s="482"/>
      <c r="V143" s="482"/>
      <c r="W143" s="482"/>
      <c r="X143" s="482"/>
      <c r="Y143" s="482"/>
      <c r="Z143" s="482"/>
      <c r="AA143" s="481"/>
      <c r="AB143" s="481"/>
      <c r="AC143" s="482"/>
      <c r="AD143" s="482"/>
      <c r="AE143" s="482"/>
      <c r="AF143" s="481"/>
      <c r="AG143" s="482"/>
      <c r="AH143" s="482"/>
      <c r="AI143" s="482"/>
      <c r="AJ143" s="481"/>
      <c r="AK143" s="481"/>
      <c r="AL143" s="481"/>
      <c r="AM143" s="482"/>
      <c r="AN143" s="487"/>
      <c r="AO143" s="490"/>
      <c r="AP143" s="485"/>
      <c r="AQ143" s="482"/>
      <c r="AR143" s="482"/>
      <c r="AS143" s="482"/>
      <c r="AT143" s="482"/>
      <c r="AU143" s="482"/>
      <c r="AV143" s="482"/>
      <c r="AW143" s="482"/>
      <c r="AX143" s="482"/>
      <c r="AY143" s="481"/>
      <c r="AZ143" s="482"/>
      <c r="BA143" s="482"/>
      <c r="BB143" s="482"/>
      <c r="BC143" s="482"/>
      <c r="BD143" s="482"/>
      <c r="BE143" s="482"/>
      <c r="BF143" s="482"/>
      <c r="BG143" s="482"/>
      <c r="BH143" s="481"/>
      <c r="BI143" s="482"/>
      <c r="BJ143" s="482"/>
      <c r="BK143" s="482"/>
      <c r="BL143" s="481"/>
      <c r="BM143" s="481"/>
      <c r="BN143" s="481"/>
      <c r="BO143" s="482"/>
      <c r="BP143" s="482"/>
    </row>
    <row r="144" spans="2:68" ht="14.25" hidden="1" customHeight="1">
      <c r="B144" s="481"/>
      <c r="C144" s="482"/>
      <c r="D144" s="482"/>
      <c r="E144" s="482"/>
      <c r="F144" s="482"/>
      <c r="G144" s="482"/>
      <c r="H144" s="482"/>
      <c r="I144" s="483"/>
      <c r="J144" s="483"/>
      <c r="K144" s="483"/>
      <c r="L144" s="482"/>
      <c r="M144" s="482"/>
      <c r="N144" s="482"/>
      <c r="O144" s="482"/>
      <c r="P144" s="482"/>
      <c r="Q144" s="482"/>
      <c r="R144" s="482"/>
      <c r="S144" s="482"/>
      <c r="T144" s="482"/>
      <c r="U144" s="482"/>
      <c r="V144" s="482"/>
      <c r="W144" s="482"/>
      <c r="X144" s="482"/>
      <c r="Y144" s="482"/>
      <c r="Z144" s="482"/>
      <c r="AA144" s="481"/>
      <c r="AB144" s="481"/>
      <c r="AC144" s="482"/>
      <c r="AD144" s="482"/>
      <c r="AE144" s="482"/>
      <c r="AF144" s="481"/>
      <c r="AG144" s="482"/>
      <c r="AH144" s="482"/>
      <c r="AI144" s="482"/>
      <c r="AJ144" s="481"/>
      <c r="AK144" s="481"/>
      <c r="AL144" s="481"/>
      <c r="AM144" s="482"/>
      <c r="AN144" s="487"/>
      <c r="AO144" s="490"/>
      <c r="AP144" s="485"/>
      <c r="AQ144" s="482"/>
      <c r="AR144" s="482"/>
      <c r="AS144" s="482"/>
      <c r="AT144" s="482"/>
      <c r="AU144" s="482"/>
      <c r="AV144" s="482"/>
      <c r="AW144" s="482"/>
      <c r="AX144" s="482"/>
      <c r="AY144" s="481"/>
      <c r="AZ144" s="482"/>
      <c r="BA144" s="482"/>
      <c r="BB144" s="482"/>
      <c r="BC144" s="482"/>
      <c r="BD144" s="482"/>
      <c r="BE144" s="482"/>
      <c r="BF144" s="482"/>
      <c r="BG144" s="482"/>
      <c r="BH144" s="481"/>
      <c r="BI144" s="482"/>
      <c r="BJ144" s="482"/>
      <c r="BK144" s="482"/>
      <c r="BL144" s="481"/>
      <c r="BM144" s="481"/>
      <c r="BN144" s="481"/>
      <c r="BO144" s="482"/>
      <c r="BP144" s="482"/>
    </row>
    <row r="145" spans="2:68" ht="14.25" hidden="1" customHeight="1">
      <c r="B145" s="481"/>
      <c r="C145" s="482"/>
      <c r="D145" s="482"/>
      <c r="E145" s="482"/>
      <c r="F145" s="482"/>
      <c r="G145" s="482"/>
      <c r="H145" s="482"/>
      <c r="I145" s="483"/>
      <c r="J145" s="483"/>
      <c r="K145" s="483"/>
      <c r="L145" s="482"/>
      <c r="M145" s="482"/>
      <c r="N145" s="482"/>
      <c r="O145" s="482"/>
      <c r="P145" s="482"/>
      <c r="Q145" s="482"/>
      <c r="R145" s="482"/>
      <c r="S145" s="482"/>
      <c r="T145" s="482"/>
      <c r="U145" s="482"/>
      <c r="V145" s="482"/>
      <c r="W145" s="482"/>
      <c r="X145" s="482"/>
      <c r="Y145" s="482"/>
      <c r="Z145" s="482"/>
      <c r="AA145" s="481"/>
      <c r="AB145" s="481"/>
      <c r="AC145" s="482"/>
      <c r="AD145" s="482"/>
      <c r="AE145" s="482"/>
      <c r="AF145" s="481"/>
      <c r="AG145" s="482"/>
      <c r="AH145" s="482"/>
      <c r="AI145" s="482"/>
      <c r="AJ145" s="481"/>
      <c r="AK145" s="481"/>
      <c r="AL145" s="481"/>
      <c r="AM145" s="482"/>
      <c r="AN145" s="487"/>
      <c r="AO145" s="490"/>
      <c r="AP145" s="485"/>
      <c r="AQ145" s="482"/>
      <c r="AR145" s="482"/>
      <c r="AS145" s="482"/>
      <c r="AT145" s="482"/>
      <c r="AU145" s="482"/>
      <c r="AV145" s="482"/>
      <c r="AW145" s="482"/>
      <c r="AX145" s="482"/>
      <c r="AY145" s="481"/>
      <c r="AZ145" s="482"/>
      <c r="BA145" s="482"/>
      <c r="BB145" s="482"/>
      <c r="BC145" s="482"/>
      <c r="BD145" s="482"/>
      <c r="BE145" s="482"/>
      <c r="BF145" s="482"/>
      <c r="BG145" s="482"/>
      <c r="BH145" s="481"/>
      <c r="BI145" s="482"/>
      <c r="BJ145" s="482"/>
      <c r="BK145" s="482"/>
      <c r="BL145" s="481"/>
      <c r="BM145" s="481"/>
      <c r="BN145" s="481"/>
      <c r="BO145" s="482"/>
      <c r="BP145" s="482"/>
    </row>
    <row r="146" spans="2:68" ht="14.25" hidden="1" customHeight="1">
      <c r="B146" s="481"/>
      <c r="C146" s="482"/>
      <c r="D146" s="482"/>
      <c r="E146" s="482"/>
      <c r="F146" s="482"/>
      <c r="G146" s="482"/>
      <c r="H146" s="482"/>
      <c r="I146" s="483"/>
      <c r="J146" s="483"/>
      <c r="K146" s="483"/>
      <c r="L146" s="482"/>
      <c r="M146" s="482"/>
      <c r="N146" s="482"/>
      <c r="O146" s="482"/>
      <c r="P146" s="482"/>
      <c r="Q146" s="482"/>
      <c r="R146" s="482"/>
      <c r="S146" s="482"/>
      <c r="T146" s="482"/>
      <c r="U146" s="482"/>
      <c r="V146" s="482"/>
      <c r="W146" s="482"/>
      <c r="X146" s="482"/>
      <c r="Y146" s="482"/>
      <c r="Z146" s="482"/>
      <c r="AA146" s="481"/>
      <c r="AB146" s="481"/>
      <c r="AC146" s="482"/>
      <c r="AD146" s="482"/>
      <c r="AE146" s="482"/>
      <c r="AF146" s="481"/>
      <c r="AG146" s="482"/>
      <c r="AH146" s="482"/>
      <c r="AI146" s="482"/>
      <c r="AJ146" s="481"/>
      <c r="AK146" s="481"/>
      <c r="AL146" s="481"/>
      <c r="AM146" s="482"/>
      <c r="AN146" s="487"/>
      <c r="AO146" s="490"/>
      <c r="AP146" s="485"/>
      <c r="AQ146" s="482"/>
      <c r="AR146" s="482"/>
      <c r="AS146" s="482"/>
      <c r="AT146" s="482"/>
      <c r="AU146" s="482"/>
      <c r="AV146" s="482"/>
      <c r="AW146" s="482"/>
      <c r="AX146" s="482"/>
      <c r="AY146" s="481"/>
      <c r="AZ146" s="482"/>
      <c r="BA146" s="482"/>
      <c r="BB146" s="482"/>
      <c r="BC146" s="482"/>
      <c r="BD146" s="482"/>
      <c r="BE146" s="482"/>
      <c r="BF146" s="482"/>
      <c r="BG146" s="482"/>
      <c r="BH146" s="481"/>
      <c r="BI146" s="482"/>
      <c r="BJ146" s="482"/>
      <c r="BK146" s="482"/>
      <c r="BL146" s="481"/>
      <c r="BM146" s="481"/>
      <c r="BN146" s="481"/>
      <c r="BO146" s="482"/>
      <c r="BP146" s="482"/>
    </row>
    <row r="147" spans="2:68" ht="14.25" hidden="1" customHeight="1">
      <c r="B147" s="481"/>
      <c r="C147" s="482"/>
      <c r="D147" s="482"/>
      <c r="E147" s="482"/>
      <c r="F147" s="482"/>
      <c r="G147" s="482"/>
      <c r="H147" s="482"/>
      <c r="I147" s="483"/>
      <c r="J147" s="483"/>
      <c r="K147" s="483"/>
      <c r="L147" s="482"/>
      <c r="M147" s="482"/>
      <c r="N147" s="482"/>
      <c r="O147" s="482"/>
      <c r="P147" s="482"/>
      <c r="Q147" s="482"/>
      <c r="R147" s="482"/>
      <c r="S147" s="482"/>
      <c r="T147" s="482"/>
      <c r="U147" s="482"/>
      <c r="V147" s="482"/>
      <c r="W147" s="482"/>
      <c r="X147" s="482"/>
      <c r="Y147" s="482"/>
      <c r="Z147" s="482"/>
      <c r="AA147" s="481"/>
      <c r="AB147" s="481"/>
      <c r="AC147" s="482"/>
      <c r="AD147" s="482"/>
      <c r="AE147" s="482"/>
      <c r="AF147" s="481"/>
      <c r="AG147" s="482"/>
      <c r="AH147" s="482"/>
      <c r="AI147" s="482"/>
      <c r="AJ147" s="481"/>
      <c r="AK147" s="481"/>
      <c r="AL147" s="481"/>
      <c r="AM147" s="482"/>
      <c r="AN147" s="487"/>
      <c r="AO147" s="490"/>
      <c r="AP147" s="485"/>
      <c r="AQ147" s="482"/>
      <c r="AR147" s="482"/>
      <c r="AS147" s="482"/>
      <c r="AT147" s="482"/>
      <c r="AU147" s="482"/>
      <c r="AV147" s="482"/>
      <c r="AW147" s="482"/>
      <c r="AX147" s="482"/>
      <c r="AY147" s="481"/>
      <c r="AZ147" s="482"/>
      <c r="BA147" s="482"/>
      <c r="BB147" s="482"/>
      <c r="BC147" s="482"/>
      <c r="BD147" s="482"/>
      <c r="BE147" s="482"/>
      <c r="BF147" s="482"/>
      <c r="BG147" s="482"/>
      <c r="BH147" s="481"/>
      <c r="BI147" s="482"/>
      <c r="BJ147" s="482"/>
      <c r="BK147" s="482"/>
      <c r="BL147" s="481"/>
      <c r="BM147" s="481"/>
      <c r="BN147" s="481"/>
      <c r="BO147" s="482"/>
      <c r="BP147" s="482"/>
    </row>
    <row r="148" spans="2:68" ht="14.25" hidden="1" customHeight="1">
      <c r="B148" s="481"/>
      <c r="C148" s="482"/>
      <c r="D148" s="482"/>
      <c r="E148" s="482"/>
      <c r="F148" s="482"/>
      <c r="G148" s="482"/>
      <c r="H148" s="482"/>
      <c r="I148" s="483"/>
      <c r="J148" s="483"/>
      <c r="K148" s="483"/>
      <c r="L148" s="482"/>
      <c r="M148" s="482"/>
      <c r="N148" s="482"/>
      <c r="O148" s="482"/>
      <c r="P148" s="482"/>
      <c r="Q148" s="482"/>
      <c r="R148" s="482"/>
      <c r="S148" s="482"/>
      <c r="T148" s="482"/>
      <c r="U148" s="482"/>
      <c r="V148" s="482"/>
      <c r="W148" s="482"/>
      <c r="X148" s="482"/>
      <c r="Y148" s="482"/>
      <c r="Z148" s="482"/>
      <c r="AA148" s="481"/>
      <c r="AB148" s="481"/>
      <c r="AC148" s="482"/>
      <c r="AD148" s="482"/>
      <c r="AE148" s="482"/>
      <c r="AF148" s="481"/>
      <c r="AG148" s="482"/>
      <c r="AH148" s="482"/>
      <c r="AI148" s="482"/>
      <c r="AJ148" s="481"/>
      <c r="AK148" s="481"/>
      <c r="AL148" s="481"/>
      <c r="AM148" s="482"/>
      <c r="AN148" s="487"/>
      <c r="AO148" s="490"/>
      <c r="AP148" s="485"/>
      <c r="AQ148" s="482"/>
      <c r="AR148" s="482"/>
      <c r="AS148" s="482"/>
      <c r="AT148" s="482"/>
      <c r="AU148" s="482"/>
      <c r="AV148" s="482"/>
      <c r="AW148" s="482"/>
      <c r="AX148" s="482"/>
      <c r="AY148" s="481"/>
      <c r="AZ148" s="482"/>
      <c r="BA148" s="482"/>
      <c r="BB148" s="482"/>
      <c r="BC148" s="482"/>
      <c r="BD148" s="482"/>
      <c r="BE148" s="482"/>
      <c r="BF148" s="482"/>
      <c r="BG148" s="482"/>
      <c r="BH148" s="481"/>
      <c r="BI148" s="482"/>
      <c r="BJ148" s="482"/>
      <c r="BK148" s="482"/>
      <c r="BL148" s="481"/>
      <c r="BM148" s="481"/>
      <c r="BN148" s="481"/>
      <c r="BO148" s="482"/>
      <c r="BP148" s="482"/>
    </row>
    <row r="149" spans="2:68" ht="14.25" hidden="1" customHeight="1">
      <c r="B149" s="481"/>
      <c r="C149" s="482"/>
      <c r="D149" s="482"/>
      <c r="E149" s="482"/>
      <c r="F149" s="482"/>
      <c r="G149" s="482"/>
      <c r="H149" s="482"/>
      <c r="I149" s="483"/>
      <c r="J149" s="483"/>
      <c r="K149" s="483"/>
      <c r="L149" s="482"/>
      <c r="M149" s="482"/>
      <c r="N149" s="482"/>
      <c r="O149" s="482"/>
      <c r="P149" s="482"/>
      <c r="Q149" s="482"/>
      <c r="R149" s="482"/>
      <c r="S149" s="482"/>
      <c r="T149" s="482"/>
      <c r="U149" s="482"/>
      <c r="V149" s="482"/>
      <c r="W149" s="482"/>
      <c r="X149" s="482"/>
      <c r="Y149" s="482"/>
      <c r="Z149" s="482"/>
      <c r="AA149" s="481"/>
      <c r="AB149" s="481"/>
      <c r="AC149" s="482"/>
      <c r="AD149" s="482"/>
      <c r="AE149" s="482"/>
      <c r="AF149" s="481"/>
      <c r="AG149" s="482"/>
      <c r="AH149" s="482"/>
      <c r="AI149" s="482"/>
      <c r="AJ149" s="481"/>
      <c r="AK149" s="481"/>
      <c r="AL149" s="481"/>
      <c r="AM149" s="482"/>
      <c r="AN149" s="487"/>
      <c r="AO149" s="490"/>
      <c r="AP149" s="485"/>
      <c r="AQ149" s="482"/>
      <c r="AR149" s="482"/>
      <c r="AS149" s="482"/>
      <c r="AT149" s="482"/>
      <c r="AU149" s="482"/>
      <c r="AV149" s="482"/>
      <c r="AW149" s="482"/>
      <c r="AX149" s="482"/>
      <c r="AY149" s="481"/>
      <c r="AZ149" s="482"/>
      <c r="BA149" s="482"/>
      <c r="BB149" s="482"/>
      <c r="BC149" s="482"/>
      <c r="BD149" s="482"/>
      <c r="BE149" s="482"/>
      <c r="BF149" s="482"/>
      <c r="BG149" s="482"/>
      <c r="BH149" s="481"/>
      <c r="BI149" s="482"/>
      <c r="BJ149" s="482"/>
      <c r="BK149" s="482"/>
      <c r="BL149" s="481"/>
      <c r="BM149" s="481"/>
      <c r="BN149" s="481"/>
      <c r="BO149" s="482"/>
      <c r="BP149" s="482"/>
    </row>
    <row r="150" spans="2:68" ht="14.25" hidden="1" customHeight="1">
      <c r="B150" s="481"/>
      <c r="C150" s="482"/>
      <c r="D150" s="482"/>
      <c r="E150" s="482"/>
      <c r="F150" s="482"/>
      <c r="G150" s="482"/>
      <c r="H150" s="482"/>
      <c r="I150" s="483"/>
      <c r="J150" s="483"/>
      <c r="K150" s="483"/>
      <c r="L150" s="482"/>
      <c r="M150" s="482"/>
      <c r="N150" s="482"/>
      <c r="O150" s="482"/>
      <c r="P150" s="482"/>
      <c r="Q150" s="482"/>
      <c r="R150" s="482"/>
      <c r="S150" s="482"/>
      <c r="T150" s="482"/>
      <c r="U150" s="482"/>
      <c r="V150" s="482"/>
      <c r="W150" s="482"/>
      <c r="X150" s="482"/>
      <c r="Y150" s="482"/>
      <c r="Z150" s="482"/>
      <c r="AA150" s="481"/>
      <c r="AB150" s="481"/>
      <c r="AC150" s="482"/>
      <c r="AD150" s="482"/>
      <c r="AE150" s="482"/>
      <c r="AF150" s="481"/>
      <c r="AG150" s="482"/>
      <c r="AH150" s="482"/>
      <c r="AI150" s="482"/>
      <c r="AJ150" s="481"/>
      <c r="AK150" s="481"/>
      <c r="AL150" s="481"/>
      <c r="AM150" s="482"/>
      <c r="AN150" s="487"/>
      <c r="AO150" s="490"/>
      <c r="AP150" s="485"/>
      <c r="AQ150" s="482"/>
      <c r="AR150" s="482"/>
      <c r="AS150" s="482"/>
      <c r="AT150" s="482"/>
      <c r="AU150" s="482"/>
      <c r="AV150" s="482"/>
      <c r="AW150" s="482"/>
      <c r="AX150" s="482"/>
      <c r="AY150" s="481"/>
      <c r="AZ150" s="482"/>
      <c r="BA150" s="482"/>
      <c r="BB150" s="482"/>
      <c r="BC150" s="482"/>
      <c r="BD150" s="482"/>
      <c r="BE150" s="482"/>
      <c r="BF150" s="482"/>
      <c r="BG150" s="482"/>
      <c r="BH150" s="481"/>
      <c r="BI150" s="482"/>
      <c r="BJ150" s="482"/>
      <c r="BK150" s="482"/>
      <c r="BL150" s="481"/>
      <c r="BM150" s="481"/>
      <c r="BN150" s="481"/>
      <c r="BO150" s="482"/>
      <c r="BP150" s="482"/>
    </row>
    <row r="151" spans="2:68" ht="14.25" hidden="1" customHeight="1">
      <c r="B151" s="481"/>
      <c r="C151" s="482"/>
      <c r="D151" s="482"/>
      <c r="E151" s="482"/>
      <c r="F151" s="482"/>
      <c r="G151" s="482"/>
      <c r="H151" s="482"/>
      <c r="I151" s="483"/>
      <c r="J151" s="483"/>
      <c r="K151" s="483"/>
      <c r="L151" s="482"/>
      <c r="M151" s="482"/>
      <c r="N151" s="482"/>
      <c r="O151" s="482"/>
      <c r="P151" s="482"/>
      <c r="Q151" s="482"/>
      <c r="R151" s="482"/>
      <c r="S151" s="482"/>
      <c r="T151" s="482"/>
      <c r="U151" s="482"/>
      <c r="V151" s="482"/>
      <c r="W151" s="482"/>
      <c r="X151" s="482"/>
      <c r="Y151" s="482"/>
      <c r="Z151" s="482"/>
      <c r="AA151" s="481"/>
      <c r="AB151" s="481"/>
      <c r="AC151" s="482"/>
      <c r="AD151" s="482"/>
      <c r="AE151" s="482"/>
      <c r="AF151" s="481"/>
      <c r="AG151" s="482"/>
      <c r="AH151" s="482"/>
      <c r="AI151" s="482"/>
      <c r="AJ151" s="481"/>
      <c r="AK151" s="481"/>
      <c r="AL151" s="481"/>
      <c r="AM151" s="482"/>
      <c r="AN151" s="487"/>
      <c r="AO151" s="490"/>
      <c r="AP151" s="485"/>
      <c r="AQ151" s="482"/>
      <c r="AR151" s="482"/>
      <c r="AS151" s="482"/>
      <c r="AT151" s="482"/>
      <c r="AU151" s="482"/>
      <c r="AV151" s="482"/>
      <c r="AW151" s="482"/>
      <c r="AX151" s="482"/>
      <c r="AY151" s="481"/>
      <c r="AZ151" s="482"/>
      <c r="BA151" s="482"/>
      <c r="BB151" s="482"/>
      <c r="BC151" s="482"/>
      <c r="BD151" s="482"/>
      <c r="BE151" s="482"/>
      <c r="BF151" s="482"/>
      <c r="BG151" s="482"/>
      <c r="BH151" s="481"/>
      <c r="BI151" s="482"/>
      <c r="BJ151" s="482"/>
      <c r="BK151" s="482"/>
      <c r="BL151" s="481"/>
      <c r="BM151" s="481"/>
      <c r="BN151" s="481"/>
      <c r="BO151" s="482"/>
      <c r="BP151" s="482"/>
    </row>
    <row r="152" spans="2:68" ht="14.25" hidden="1" customHeight="1">
      <c r="B152" s="481"/>
      <c r="C152" s="482"/>
      <c r="D152" s="482"/>
      <c r="E152" s="482"/>
      <c r="F152" s="482"/>
      <c r="G152" s="482"/>
      <c r="H152" s="482"/>
      <c r="I152" s="483"/>
      <c r="J152" s="483"/>
      <c r="K152" s="483"/>
      <c r="L152" s="482"/>
      <c r="M152" s="482"/>
      <c r="N152" s="482"/>
      <c r="O152" s="482"/>
      <c r="P152" s="482"/>
      <c r="Q152" s="482"/>
      <c r="R152" s="482"/>
      <c r="S152" s="482"/>
      <c r="T152" s="482"/>
      <c r="U152" s="482"/>
      <c r="V152" s="482"/>
      <c r="W152" s="482"/>
      <c r="X152" s="482"/>
      <c r="Y152" s="482"/>
      <c r="Z152" s="482"/>
      <c r="AA152" s="481"/>
      <c r="AB152" s="481"/>
      <c r="AC152" s="482"/>
      <c r="AD152" s="482"/>
      <c r="AE152" s="482"/>
      <c r="AF152" s="481"/>
      <c r="AG152" s="482"/>
      <c r="AH152" s="482"/>
      <c r="AI152" s="482"/>
      <c r="AJ152" s="481"/>
      <c r="AK152" s="481"/>
      <c r="AL152" s="481"/>
      <c r="AM152" s="482"/>
      <c r="AN152" s="487"/>
      <c r="AO152" s="490"/>
      <c r="AP152" s="485"/>
      <c r="AQ152" s="482"/>
      <c r="AR152" s="482"/>
      <c r="AS152" s="482"/>
      <c r="AT152" s="482"/>
      <c r="AU152" s="482"/>
      <c r="AV152" s="482"/>
      <c r="AW152" s="482"/>
      <c r="AX152" s="482"/>
      <c r="AY152" s="481"/>
      <c r="AZ152" s="482"/>
      <c r="BA152" s="482"/>
      <c r="BB152" s="482"/>
      <c r="BC152" s="482"/>
      <c r="BD152" s="482"/>
      <c r="BE152" s="482"/>
      <c r="BF152" s="482"/>
      <c r="BG152" s="482"/>
      <c r="BH152" s="481"/>
      <c r="BI152" s="482"/>
      <c r="BJ152" s="482"/>
      <c r="BK152" s="482"/>
      <c r="BL152" s="481"/>
      <c r="BM152" s="481"/>
      <c r="BN152" s="481"/>
      <c r="BO152" s="482"/>
      <c r="BP152" s="482"/>
    </row>
    <row r="153" spans="2:68" ht="14.25" hidden="1" customHeight="1">
      <c r="B153" s="481"/>
      <c r="C153" s="482"/>
      <c r="D153" s="482"/>
      <c r="E153" s="482"/>
      <c r="F153" s="482"/>
      <c r="G153" s="482"/>
      <c r="H153" s="482"/>
      <c r="I153" s="483"/>
      <c r="J153" s="483"/>
      <c r="K153" s="483"/>
      <c r="L153" s="482"/>
      <c r="M153" s="482"/>
      <c r="N153" s="482"/>
      <c r="O153" s="482"/>
      <c r="P153" s="482"/>
      <c r="Q153" s="482"/>
      <c r="R153" s="482"/>
      <c r="S153" s="482"/>
      <c r="T153" s="482"/>
      <c r="U153" s="482"/>
      <c r="V153" s="482"/>
      <c r="W153" s="482"/>
      <c r="X153" s="482"/>
      <c r="Y153" s="482"/>
      <c r="Z153" s="482"/>
      <c r="AA153" s="481"/>
      <c r="AB153" s="481"/>
      <c r="AC153" s="482"/>
      <c r="AD153" s="482"/>
      <c r="AE153" s="482"/>
      <c r="AF153" s="481"/>
      <c r="AG153" s="482"/>
      <c r="AH153" s="482"/>
      <c r="AI153" s="482"/>
      <c r="AJ153" s="481"/>
      <c r="AK153" s="481"/>
      <c r="AL153" s="481"/>
      <c r="AM153" s="482"/>
      <c r="AN153" s="487"/>
      <c r="AO153" s="490"/>
      <c r="AP153" s="485"/>
      <c r="AQ153" s="482"/>
      <c r="AR153" s="482"/>
      <c r="AS153" s="482"/>
      <c r="AT153" s="482"/>
      <c r="AU153" s="482"/>
      <c r="AV153" s="482"/>
      <c r="AW153" s="482"/>
      <c r="AX153" s="482"/>
      <c r="AY153" s="481"/>
      <c r="AZ153" s="482"/>
      <c r="BA153" s="482"/>
      <c r="BB153" s="482"/>
      <c r="BC153" s="482"/>
      <c r="BD153" s="482"/>
      <c r="BE153" s="482"/>
      <c r="BF153" s="482"/>
      <c r="BG153" s="482"/>
      <c r="BH153" s="481"/>
      <c r="BI153" s="482"/>
      <c r="BJ153" s="482"/>
      <c r="BK153" s="482"/>
      <c r="BL153" s="481"/>
      <c r="BM153" s="481"/>
      <c r="BN153" s="481"/>
      <c r="BO153" s="482"/>
      <c r="BP153" s="482"/>
    </row>
    <row r="154" spans="2:68" ht="14.25" hidden="1" customHeight="1">
      <c r="B154" s="481"/>
      <c r="C154" s="482"/>
      <c r="D154" s="482"/>
      <c r="E154" s="482"/>
      <c r="F154" s="482"/>
      <c r="G154" s="482"/>
      <c r="H154" s="482"/>
      <c r="I154" s="483"/>
      <c r="J154" s="483"/>
      <c r="K154" s="483"/>
      <c r="L154" s="482"/>
      <c r="M154" s="482"/>
      <c r="N154" s="482"/>
      <c r="O154" s="482"/>
      <c r="P154" s="482"/>
      <c r="Q154" s="482"/>
      <c r="R154" s="482"/>
      <c r="S154" s="482"/>
      <c r="T154" s="482"/>
      <c r="U154" s="482"/>
      <c r="V154" s="482"/>
      <c r="W154" s="482"/>
      <c r="X154" s="482"/>
      <c r="Y154" s="482"/>
      <c r="Z154" s="482"/>
      <c r="AA154" s="481"/>
      <c r="AB154" s="481"/>
      <c r="AC154" s="482"/>
      <c r="AD154" s="482"/>
      <c r="AE154" s="482"/>
      <c r="AF154" s="481"/>
      <c r="AG154" s="482"/>
      <c r="AH154" s="482"/>
      <c r="AI154" s="482"/>
      <c r="AJ154" s="481"/>
      <c r="AK154" s="481"/>
      <c r="AL154" s="481"/>
      <c r="AM154" s="482"/>
      <c r="AN154" s="487"/>
      <c r="AO154" s="490"/>
      <c r="AP154" s="485"/>
      <c r="AQ154" s="482"/>
      <c r="AR154" s="482"/>
      <c r="AS154" s="482"/>
      <c r="AT154" s="482"/>
      <c r="AU154" s="482"/>
      <c r="AV154" s="482"/>
      <c r="AW154" s="482"/>
      <c r="AX154" s="482"/>
      <c r="AY154" s="481"/>
      <c r="AZ154" s="482"/>
      <c r="BA154" s="482"/>
      <c r="BB154" s="482"/>
      <c r="BC154" s="482"/>
      <c r="BD154" s="482"/>
      <c r="BE154" s="482"/>
      <c r="BF154" s="482"/>
      <c r="BG154" s="482"/>
      <c r="BH154" s="481"/>
      <c r="BI154" s="482"/>
      <c r="BJ154" s="482"/>
      <c r="BK154" s="482"/>
      <c r="BL154" s="481"/>
      <c r="BM154" s="481"/>
      <c r="BN154" s="481"/>
      <c r="BO154" s="482"/>
      <c r="BP154" s="482"/>
    </row>
    <row r="155" spans="2:68" ht="14.25" hidden="1" customHeight="1">
      <c r="B155" s="481"/>
      <c r="C155" s="482"/>
      <c r="D155" s="482"/>
      <c r="E155" s="482"/>
      <c r="F155" s="482"/>
      <c r="G155" s="482"/>
      <c r="H155" s="482"/>
      <c r="I155" s="483"/>
      <c r="J155" s="483"/>
      <c r="K155" s="483"/>
      <c r="L155" s="482"/>
      <c r="M155" s="482"/>
      <c r="N155" s="482"/>
      <c r="O155" s="482"/>
      <c r="P155" s="482"/>
      <c r="Q155" s="482"/>
      <c r="R155" s="482"/>
      <c r="S155" s="482"/>
      <c r="T155" s="482"/>
      <c r="U155" s="482"/>
      <c r="V155" s="482"/>
      <c r="W155" s="482"/>
      <c r="X155" s="482"/>
      <c r="Y155" s="482"/>
      <c r="Z155" s="482"/>
      <c r="AA155" s="481"/>
      <c r="AB155" s="481"/>
      <c r="AC155" s="482"/>
      <c r="AD155" s="482"/>
      <c r="AE155" s="482"/>
      <c r="AF155" s="481"/>
      <c r="AG155" s="482"/>
      <c r="AH155" s="482"/>
      <c r="AI155" s="482"/>
      <c r="AJ155" s="481"/>
      <c r="AK155" s="481"/>
      <c r="AL155" s="481"/>
      <c r="AM155" s="482"/>
      <c r="AN155" s="487"/>
      <c r="AO155" s="490"/>
      <c r="AP155" s="485"/>
      <c r="AQ155" s="482"/>
      <c r="AR155" s="482"/>
      <c r="AS155" s="482"/>
      <c r="AT155" s="482"/>
      <c r="AU155" s="482"/>
      <c r="AV155" s="482"/>
      <c r="AW155" s="482"/>
      <c r="AX155" s="482"/>
      <c r="AY155" s="481"/>
      <c r="AZ155" s="482"/>
      <c r="BA155" s="482"/>
      <c r="BB155" s="482"/>
      <c r="BC155" s="482"/>
      <c r="BD155" s="482"/>
      <c r="BE155" s="482"/>
      <c r="BF155" s="482"/>
      <c r="BG155" s="482"/>
      <c r="BH155" s="481"/>
      <c r="BI155" s="482"/>
      <c r="BJ155" s="482"/>
      <c r="BK155" s="482"/>
      <c r="BL155" s="481"/>
      <c r="BM155" s="481"/>
      <c r="BN155" s="481"/>
      <c r="BO155" s="482"/>
      <c r="BP155" s="482"/>
    </row>
    <row r="156" spans="2:68" ht="14.25" hidden="1" customHeight="1">
      <c r="B156" s="481"/>
      <c r="C156" s="482"/>
      <c r="D156" s="482"/>
      <c r="E156" s="482"/>
      <c r="F156" s="482"/>
      <c r="G156" s="482"/>
      <c r="H156" s="482"/>
      <c r="I156" s="483"/>
      <c r="J156" s="483"/>
      <c r="K156" s="483"/>
      <c r="L156" s="482"/>
      <c r="M156" s="482"/>
      <c r="N156" s="482"/>
      <c r="O156" s="482"/>
      <c r="P156" s="482"/>
      <c r="Q156" s="482"/>
      <c r="R156" s="482"/>
      <c r="S156" s="482"/>
      <c r="T156" s="482"/>
      <c r="U156" s="482"/>
      <c r="V156" s="482"/>
      <c r="W156" s="482"/>
      <c r="X156" s="482"/>
      <c r="Y156" s="482"/>
      <c r="Z156" s="482"/>
      <c r="AA156" s="481"/>
      <c r="AB156" s="481"/>
      <c r="AC156" s="482"/>
      <c r="AD156" s="482"/>
      <c r="AE156" s="482"/>
      <c r="AF156" s="481"/>
      <c r="AG156" s="482"/>
      <c r="AH156" s="482"/>
      <c r="AI156" s="482"/>
      <c r="AJ156" s="481"/>
      <c r="AK156" s="481"/>
      <c r="AL156" s="481"/>
      <c r="AM156" s="482"/>
      <c r="AN156" s="487"/>
      <c r="AO156" s="490"/>
      <c r="AP156" s="485"/>
      <c r="AQ156" s="482"/>
      <c r="AR156" s="482"/>
      <c r="AS156" s="482"/>
      <c r="AT156" s="482"/>
      <c r="AU156" s="482"/>
      <c r="AV156" s="482"/>
      <c r="AW156" s="482"/>
      <c r="AX156" s="482"/>
      <c r="AY156" s="481"/>
      <c r="AZ156" s="482"/>
      <c r="BA156" s="482"/>
      <c r="BB156" s="482"/>
      <c r="BC156" s="482"/>
      <c r="BD156" s="482"/>
      <c r="BE156" s="482"/>
      <c r="BF156" s="482"/>
      <c r="BG156" s="482"/>
      <c r="BH156" s="481"/>
      <c r="BI156" s="482"/>
      <c r="BJ156" s="482"/>
      <c r="BK156" s="482"/>
      <c r="BL156" s="481"/>
      <c r="BM156" s="481"/>
      <c r="BN156" s="481"/>
      <c r="BO156" s="482"/>
      <c r="BP156" s="482"/>
    </row>
    <row r="157" spans="2:68" ht="14.25" hidden="1" customHeight="1">
      <c r="B157" s="481"/>
      <c r="C157" s="482"/>
      <c r="D157" s="482"/>
      <c r="E157" s="482"/>
      <c r="F157" s="482"/>
      <c r="G157" s="482"/>
      <c r="H157" s="482"/>
      <c r="I157" s="483"/>
      <c r="J157" s="483"/>
      <c r="K157" s="483"/>
      <c r="L157" s="482"/>
      <c r="M157" s="482"/>
      <c r="N157" s="482"/>
      <c r="O157" s="482"/>
      <c r="P157" s="482"/>
      <c r="Q157" s="482"/>
      <c r="R157" s="482"/>
      <c r="S157" s="482"/>
      <c r="T157" s="482"/>
      <c r="U157" s="482"/>
      <c r="V157" s="482"/>
      <c r="W157" s="482"/>
      <c r="X157" s="482"/>
      <c r="Y157" s="482"/>
      <c r="Z157" s="482"/>
      <c r="AA157" s="481"/>
      <c r="AB157" s="481"/>
      <c r="AC157" s="482"/>
      <c r="AD157" s="482"/>
      <c r="AE157" s="482"/>
      <c r="AF157" s="481"/>
      <c r="AG157" s="482"/>
      <c r="AH157" s="482"/>
      <c r="AI157" s="482"/>
      <c r="AJ157" s="481"/>
      <c r="AK157" s="481"/>
      <c r="AL157" s="481"/>
      <c r="AM157" s="482"/>
      <c r="AN157" s="487"/>
      <c r="AO157" s="490"/>
      <c r="AP157" s="485"/>
      <c r="AQ157" s="482"/>
      <c r="AR157" s="482"/>
      <c r="AS157" s="482"/>
      <c r="AT157" s="482"/>
      <c r="AU157" s="482"/>
      <c r="AV157" s="482"/>
      <c r="AW157" s="482"/>
      <c r="AX157" s="482"/>
      <c r="AY157" s="481"/>
      <c r="AZ157" s="482"/>
      <c r="BA157" s="482"/>
      <c r="BB157" s="482"/>
      <c r="BC157" s="482"/>
      <c r="BD157" s="482"/>
      <c r="BE157" s="482"/>
      <c r="BF157" s="482"/>
      <c r="BG157" s="482"/>
      <c r="BH157" s="481"/>
      <c r="BI157" s="482"/>
      <c r="BJ157" s="482"/>
      <c r="BK157" s="482"/>
      <c r="BL157" s="481"/>
      <c r="BM157" s="481"/>
      <c r="BN157" s="481"/>
      <c r="BO157" s="482"/>
      <c r="BP157" s="482"/>
    </row>
    <row r="158" spans="2:68" ht="14.25" hidden="1" customHeight="1">
      <c r="B158" s="481"/>
      <c r="C158" s="482"/>
      <c r="D158" s="482"/>
      <c r="E158" s="482"/>
      <c r="F158" s="482"/>
      <c r="G158" s="482"/>
      <c r="H158" s="482"/>
      <c r="I158" s="483"/>
      <c r="J158" s="483"/>
      <c r="K158" s="483"/>
      <c r="L158" s="482"/>
      <c r="M158" s="482"/>
      <c r="N158" s="482"/>
      <c r="O158" s="482"/>
      <c r="P158" s="482"/>
      <c r="Q158" s="482"/>
      <c r="R158" s="482"/>
      <c r="S158" s="482"/>
      <c r="T158" s="482"/>
      <c r="U158" s="482"/>
      <c r="V158" s="482"/>
      <c r="W158" s="482"/>
      <c r="X158" s="482"/>
      <c r="Y158" s="482"/>
      <c r="Z158" s="482"/>
      <c r="AA158" s="481"/>
      <c r="AB158" s="481"/>
      <c r="AC158" s="482"/>
      <c r="AD158" s="482"/>
      <c r="AE158" s="482"/>
      <c r="AF158" s="481"/>
      <c r="AG158" s="482"/>
      <c r="AH158" s="482"/>
      <c r="AI158" s="482"/>
      <c r="AJ158" s="481"/>
      <c r="AK158" s="481"/>
      <c r="AL158" s="481"/>
      <c r="AM158" s="482"/>
      <c r="AN158" s="487"/>
      <c r="AO158" s="490"/>
      <c r="AP158" s="485"/>
      <c r="AQ158" s="482"/>
      <c r="AR158" s="482"/>
      <c r="AS158" s="482"/>
      <c r="AT158" s="482"/>
      <c r="AU158" s="482"/>
      <c r="AV158" s="482"/>
      <c r="AW158" s="482"/>
      <c r="AX158" s="482"/>
      <c r="AY158" s="481"/>
      <c r="AZ158" s="482"/>
      <c r="BA158" s="482"/>
      <c r="BB158" s="482"/>
      <c r="BC158" s="482"/>
      <c r="BD158" s="482"/>
      <c r="BE158" s="482"/>
      <c r="BF158" s="482"/>
      <c r="BG158" s="482"/>
      <c r="BH158" s="481"/>
      <c r="BI158" s="482"/>
      <c r="BJ158" s="482"/>
      <c r="BK158" s="482"/>
      <c r="BL158" s="481"/>
      <c r="BM158" s="481"/>
      <c r="BN158" s="481"/>
      <c r="BO158" s="482"/>
      <c r="BP158" s="482"/>
    </row>
    <row r="159" spans="2:68" ht="14.25" hidden="1" customHeight="1">
      <c r="B159" s="481"/>
      <c r="C159" s="482"/>
      <c r="D159" s="482"/>
      <c r="E159" s="482"/>
      <c r="F159" s="482"/>
      <c r="G159" s="482"/>
      <c r="H159" s="482"/>
      <c r="I159" s="483"/>
      <c r="J159" s="483"/>
      <c r="K159" s="483"/>
      <c r="L159" s="482"/>
      <c r="M159" s="482"/>
      <c r="N159" s="482"/>
      <c r="O159" s="482"/>
      <c r="P159" s="482"/>
      <c r="Q159" s="482"/>
      <c r="R159" s="482"/>
      <c r="S159" s="482"/>
      <c r="T159" s="482"/>
      <c r="U159" s="482"/>
      <c r="V159" s="482"/>
      <c r="W159" s="482"/>
      <c r="X159" s="482"/>
      <c r="Y159" s="482"/>
      <c r="Z159" s="482"/>
      <c r="AA159" s="481"/>
      <c r="AB159" s="481"/>
      <c r="AC159" s="482"/>
      <c r="AD159" s="482"/>
      <c r="AE159" s="482"/>
      <c r="AF159" s="481"/>
      <c r="AG159" s="482"/>
      <c r="AH159" s="482"/>
      <c r="AI159" s="482"/>
      <c r="AJ159" s="481"/>
      <c r="AK159" s="481"/>
      <c r="AL159" s="481"/>
      <c r="AM159" s="482"/>
      <c r="AN159" s="487"/>
      <c r="AO159" s="490"/>
      <c r="AP159" s="485"/>
      <c r="AQ159" s="482"/>
      <c r="AR159" s="482"/>
      <c r="AS159" s="482"/>
      <c r="AT159" s="482"/>
      <c r="AU159" s="482"/>
      <c r="AV159" s="482"/>
      <c r="AW159" s="482"/>
      <c r="AX159" s="482"/>
      <c r="AY159" s="481"/>
      <c r="AZ159" s="482"/>
      <c r="BA159" s="482"/>
      <c r="BB159" s="482"/>
      <c r="BC159" s="482"/>
      <c r="BD159" s="482"/>
      <c r="BE159" s="482"/>
      <c r="BF159" s="482"/>
      <c r="BG159" s="482"/>
      <c r="BH159" s="481"/>
      <c r="BI159" s="482"/>
      <c r="BJ159" s="482"/>
      <c r="BK159" s="482"/>
      <c r="BL159" s="481"/>
      <c r="BM159" s="481"/>
      <c r="BN159" s="481"/>
      <c r="BO159" s="482"/>
      <c r="BP159" s="482"/>
    </row>
    <row r="160" spans="2:68" ht="14.25" hidden="1" customHeight="1">
      <c r="B160" s="481"/>
      <c r="C160" s="482"/>
      <c r="D160" s="482"/>
      <c r="E160" s="482"/>
      <c r="F160" s="482"/>
      <c r="G160" s="482"/>
      <c r="H160" s="482"/>
      <c r="I160" s="483"/>
      <c r="J160" s="483"/>
      <c r="K160" s="483"/>
      <c r="L160" s="482"/>
      <c r="M160" s="482"/>
      <c r="N160" s="482"/>
      <c r="O160" s="482"/>
      <c r="P160" s="482"/>
      <c r="Q160" s="482"/>
      <c r="R160" s="482"/>
      <c r="S160" s="482"/>
      <c r="T160" s="482"/>
      <c r="U160" s="482"/>
      <c r="V160" s="482"/>
      <c r="W160" s="482"/>
      <c r="X160" s="482"/>
      <c r="Y160" s="482"/>
      <c r="Z160" s="482"/>
      <c r="AA160" s="481"/>
      <c r="AB160" s="481"/>
      <c r="AC160" s="482"/>
      <c r="AD160" s="482"/>
      <c r="AE160" s="482"/>
      <c r="AF160" s="481"/>
      <c r="AG160" s="482"/>
      <c r="AH160" s="482"/>
      <c r="AI160" s="482"/>
      <c r="AJ160" s="481"/>
      <c r="AK160" s="481"/>
      <c r="AL160" s="481"/>
      <c r="AM160" s="482"/>
      <c r="AN160" s="487"/>
      <c r="AO160" s="490"/>
      <c r="AP160" s="485"/>
      <c r="AQ160" s="482"/>
      <c r="AR160" s="482"/>
      <c r="AS160" s="482"/>
      <c r="AT160" s="482"/>
      <c r="AU160" s="482"/>
      <c r="AV160" s="482"/>
      <c r="AW160" s="482"/>
      <c r="AX160" s="482"/>
      <c r="AY160" s="481"/>
      <c r="AZ160" s="482"/>
      <c r="BA160" s="482"/>
      <c r="BB160" s="482"/>
      <c r="BC160" s="482"/>
      <c r="BD160" s="482"/>
      <c r="BE160" s="482"/>
      <c r="BF160" s="482"/>
      <c r="BG160" s="482"/>
      <c r="BH160" s="481"/>
      <c r="BI160" s="482"/>
      <c r="BJ160" s="482"/>
      <c r="BK160" s="482"/>
      <c r="BL160" s="481"/>
      <c r="BM160" s="481"/>
      <c r="BN160" s="481"/>
      <c r="BO160" s="482"/>
      <c r="BP160" s="482"/>
    </row>
    <row r="161" spans="2:68" ht="14.25" hidden="1" customHeight="1">
      <c r="B161" s="481"/>
      <c r="C161" s="482"/>
      <c r="D161" s="482"/>
      <c r="E161" s="482"/>
      <c r="F161" s="482"/>
      <c r="G161" s="482"/>
      <c r="H161" s="482"/>
      <c r="I161" s="483"/>
      <c r="J161" s="483"/>
      <c r="K161" s="483"/>
      <c r="L161" s="482"/>
      <c r="M161" s="482"/>
      <c r="N161" s="482"/>
      <c r="O161" s="482"/>
      <c r="P161" s="482"/>
      <c r="Q161" s="482"/>
      <c r="R161" s="482"/>
      <c r="S161" s="482"/>
      <c r="T161" s="482"/>
      <c r="U161" s="482"/>
      <c r="V161" s="482"/>
      <c r="W161" s="482"/>
      <c r="X161" s="482"/>
      <c r="Y161" s="482"/>
      <c r="Z161" s="482"/>
      <c r="AA161" s="481"/>
      <c r="AB161" s="481"/>
      <c r="AC161" s="482"/>
      <c r="AD161" s="482"/>
      <c r="AE161" s="482"/>
      <c r="AF161" s="481"/>
      <c r="AG161" s="482"/>
      <c r="AH161" s="482"/>
      <c r="AI161" s="482"/>
      <c r="AJ161" s="481"/>
      <c r="AK161" s="481"/>
      <c r="AL161" s="481"/>
      <c r="AM161" s="482"/>
      <c r="AN161" s="487"/>
      <c r="AO161" s="490"/>
      <c r="AP161" s="485"/>
      <c r="AQ161" s="482"/>
      <c r="AR161" s="482"/>
      <c r="AS161" s="482"/>
      <c r="AT161" s="482"/>
      <c r="AU161" s="482"/>
      <c r="AV161" s="482"/>
      <c r="AW161" s="482"/>
      <c r="AX161" s="482"/>
      <c r="AY161" s="481"/>
      <c r="AZ161" s="482"/>
      <c r="BA161" s="482"/>
      <c r="BB161" s="482"/>
      <c r="BC161" s="482"/>
      <c r="BD161" s="482"/>
      <c r="BE161" s="482"/>
      <c r="BF161" s="482"/>
      <c r="BG161" s="482"/>
      <c r="BH161" s="481"/>
      <c r="BI161" s="482"/>
      <c r="BJ161" s="482"/>
      <c r="BK161" s="482"/>
      <c r="BL161" s="481"/>
      <c r="BM161" s="481"/>
      <c r="BN161" s="481"/>
      <c r="BO161" s="482"/>
      <c r="BP161" s="482"/>
    </row>
    <row r="162" spans="2:68" ht="14.25" hidden="1" customHeight="1">
      <c r="B162" s="481"/>
      <c r="C162" s="482"/>
      <c r="D162" s="482"/>
      <c r="E162" s="482"/>
      <c r="F162" s="482"/>
      <c r="G162" s="482"/>
      <c r="H162" s="482"/>
      <c r="I162" s="483"/>
      <c r="J162" s="483"/>
      <c r="K162" s="483"/>
      <c r="L162" s="482"/>
      <c r="M162" s="482"/>
      <c r="N162" s="482"/>
      <c r="O162" s="482"/>
      <c r="P162" s="482"/>
      <c r="Q162" s="482"/>
      <c r="R162" s="482"/>
      <c r="S162" s="482"/>
      <c r="T162" s="482"/>
      <c r="U162" s="482"/>
      <c r="V162" s="482"/>
      <c r="W162" s="482"/>
      <c r="X162" s="482"/>
      <c r="Y162" s="482"/>
      <c r="Z162" s="482"/>
      <c r="AA162" s="481"/>
      <c r="AB162" s="481"/>
      <c r="AC162" s="482"/>
      <c r="AD162" s="482"/>
      <c r="AE162" s="482"/>
      <c r="AF162" s="481"/>
      <c r="AG162" s="482"/>
      <c r="AH162" s="482"/>
      <c r="AI162" s="482"/>
      <c r="AJ162" s="481"/>
      <c r="AK162" s="481"/>
      <c r="AL162" s="481"/>
      <c r="AM162" s="482"/>
      <c r="AN162" s="487"/>
      <c r="AO162" s="490"/>
      <c r="AP162" s="485"/>
      <c r="AQ162" s="482"/>
      <c r="AR162" s="482"/>
      <c r="AS162" s="482"/>
      <c r="AT162" s="482"/>
      <c r="AU162" s="482"/>
      <c r="AV162" s="482"/>
      <c r="AW162" s="482"/>
      <c r="AX162" s="482"/>
      <c r="AY162" s="481"/>
      <c r="AZ162" s="482"/>
      <c r="BA162" s="482"/>
      <c r="BB162" s="482"/>
      <c r="BC162" s="482"/>
      <c r="BD162" s="482"/>
      <c r="BE162" s="482"/>
      <c r="BF162" s="482"/>
      <c r="BG162" s="482"/>
      <c r="BH162" s="481"/>
      <c r="BI162" s="482"/>
      <c r="BJ162" s="482"/>
      <c r="BK162" s="482"/>
      <c r="BL162" s="481"/>
      <c r="BM162" s="481"/>
      <c r="BN162" s="481"/>
      <c r="BO162" s="482"/>
      <c r="BP162" s="482"/>
    </row>
    <row r="163" spans="2:68" ht="14.25" hidden="1" customHeight="1">
      <c r="B163" s="481"/>
      <c r="C163" s="482"/>
      <c r="D163" s="482"/>
      <c r="E163" s="482"/>
      <c r="F163" s="482"/>
      <c r="G163" s="482"/>
      <c r="H163" s="482"/>
      <c r="I163" s="483"/>
      <c r="J163" s="483"/>
      <c r="K163" s="483"/>
      <c r="L163" s="482"/>
      <c r="M163" s="482"/>
      <c r="N163" s="482"/>
      <c r="O163" s="482"/>
      <c r="P163" s="482"/>
      <c r="Q163" s="482"/>
      <c r="R163" s="482"/>
      <c r="S163" s="482"/>
      <c r="T163" s="482"/>
      <c r="U163" s="482"/>
      <c r="V163" s="482"/>
      <c r="W163" s="482"/>
      <c r="X163" s="482"/>
      <c r="Y163" s="482"/>
      <c r="Z163" s="482"/>
      <c r="AA163" s="481"/>
      <c r="AB163" s="481"/>
      <c r="AC163" s="482"/>
      <c r="AD163" s="482"/>
      <c r="AE163" s="482"/>
      <c r="AF163" s="481"/>
      <c r="AG163" s="482"/>
      <c r="AH163" s="482"/>
      <c r="AI163" s="482"/>
      <c r="AJ163" s="481"/>
      <c r="AK163" s="481"/>
      <c r="AL163" s="481"/>
      <c r="AM163" s="482"/>
      <c r="AN163" s="487"/>
      <c r="AO163" s="490"/>
      <c r="AP163" s="485"/>
      <c r="AQ163" s="482"/>
      <c r="AR163" s="482"/>
      <c r="AS163" s="482"/>
      <c r="AT163" s="482"/>
      <c r="AU163" s="482"/>
      <c r="AV163" s="482"/>
      <c r="AW163" s="482"/>
      <c r="AX163" s="482"/>
      <c r="AY163" s="481"/>
      <c r="AZ163" s="482"/>
      <c r="BA163" s="482"/>
      <c r="BB163" s="482"/>
      <c r="BC163" s="482"/>
      <c r="BD163" s="482"/>
      <c r="BE163" s="482"/>
      <c r="BF163" s="482"/>
      <c r="BG163" s="482"/>
      <c r="BH163" s="481"/>
      <c r="BI163" s="482"/>
      <c r="BJ163" s="482"/>
      <c r="BK163" s="482"/>
      <c r="BL163" s="481"/>
      <c r="BM163" s="481"/>
      <c r="BN163" s="481"/>
      <c r="BO163" s="482"/>
      <c r="BP163" s="482"/>
    </row>
    <row r="164" spans="2:68" ht="14.25" hidden="1" customHeight="1">
      <c r="B164" s="481"/>
      <c r="C164" s="482"/>
      <c r="D164" s="482"/>
      <c r="E164" s="482"/>
      <c r="F164" s="482"/>
      <c r="G164" s="482"/>
      <c r="H164" s="482"/>
      <c r="I164" s="483"/>
      <c r="J164" s="483"/>
      <c r="K164" s="483"/>
      <c r="L164" s="482"/>
      <c r="M164" s="482"/>
      <c r="N164" s="482"/>
      <c r="O164" s="482"/>
      <c r="P164" s="482"/>
      <c r="Q164" s="482"/>
      <c r="R164" s="482"/>
      <c r="S164" s="482"/>
      <c r="T164" s="482"/>
      <c r="U164" s="482"/>
      <c r="V164" s="482"/>
      <c r="W164" s="482"/>
      <c r="X164" s="482"/>
      <c r="Y164" s="482"/>
      <c r="Z164" s="482"/>
      <c r="AA164" s="481"/>
      <c r="AB164" s="481"/>
      <c r="AC164" s="482"/>
      <c r="AD164" s="482"/>
      <c r="AE164" s="482"/>
      <c r="AF164" s="481"/>
      <c r="AG164" s="482"/>
      <c r="AH164" s="482"/>
      <c r="AI164" s="482"/>
      <c r="AJ164" s="481"/>
      <c r="AK164" s="481"/>
      <c r="AL164" s="481"/>
      <c r="AM164" s="482"/>
      <c r="AN164" s="487"/>
      <c r="AO164" s="490"/>
      <c r="AP164" s="485"/>
      <c r="AQ164" s="482"/>
      <c r="AR164" s="482"/>
      <c r="AS164" s="482"/>
      <c r="AT164" s="482"/>
      <c r="AU164" s="482"/>
      <c r="AV164" s="482"/>
      <c r="AW164" s="482"/>
      <c r="AX164" s="482"/>
      <c r="AY164" s="481"/>
      <c r="AZ164" s="482"/>
      <c r="BA164" s="482"/>
      <c r="BB164" s="482"/>
      <c r="BC164" s="482"/>
      <c r="BD164" s="482"/>
      <c r="BE164" s="482"/>
      <c r="BF164" s="482"/>
      <c r="BG164" s="482"/>
      <c r="BH164" s="481"/>
      <c r="BI164" s="482"/>
      <c r="BJ164" s="482"/>
      <c r="BK164" s="482"/>
      <c r="BL164" s="481"/>
      <c r="BM164" s="481"/>
      <c r="BN164" s="481"/>
      <c r="BO164" s="482"/>
      <c r="BP164" s="482"/>
    </row>
    <row r="165" spans="2:68" ht="14.25" hidden="1" customHeight="1">
      <c r="B165" s="481"/>
      <c r="C165" s="482"/>
      <c r="D165" s="482"/>
      <c r="E165" s="482"/>
      <c r="F165" s="482"/>
      <c r="G165" s="482"/>
      <c r="H165" s="482"/>
      <c r="I165" s="483"/>
      <c r="J165" s="483"/>
      <c r="K165" s="483"/>
      <c r="L165" s="482"/>
      <c r="M165" s="482"/>
      <c r="N165" s="482"/>
      <c r="O165" s="482"/>
      <c r="P165" s="482"/>
      <c r="Q165" s="482"/>
      <c r="R165" s="482"/>
      <c r="S165" s="482"/>
      <c r="T165" s="482"/>
      <c r="U165" s="482"/>
      <c r="V165" s="482"/>
      <c r="W165" s="482"/>
      <c r="X165" s="482"/>
      <c r="Y165" s="482"/>
      <c r="Z165" s="482"/>
      <c r="AA165" s="481"/>
      <c r="AB165" s="481"/>
      <c r="AC165" s="482"/>
      <c r="AD165" s="482"/>
      <c r="AE165" s="482"/>
      <c r="AF165" s="481"/>
      <c r="AG165" s="482"/>
      <c r="AH165" s="482"/>
      <c r="AI165" s="482"/>
      <c r="AJ165" s="481"/>
      <c r="AK165" s="481"/>
      <c r="AL165" s="481"/>
      <c r="AM165" s="482"/>
      <c r="AN165" s="487"/>
      <c r="AO165" s="490"/>
      <c r="AP165" s="485"/>
      <c r="AQ165" s="482"/>
      <c r="AR165" s="482"/>
      <c r="AS165" s="482"/>
      <c r="AT165" s="482"/>
      <c r="AU165" s="482"/>
      <c r="AV165" s="482"/>
      <c r="AW165" s="482"/>
      <c r="AX165" s="482"/>
      <c r="AY165" s="481"/>
      <c r="AZ165" s="482"/>
      <c r="BA165" s="482"/>
      <c r="BB165" s="482"/>
      <c r="BC165" s="482"/>
      <c r="BD165" s="482"/>
      <c r="BE165" s="482"/>
      <c r="BF165" s="482"/>
      <c r="BG165" s="482"/>
      <c r="BH165" s="481"/>
      <c r="BI165" s="482"/>
      <c r="BJ165" s="482"/>
      <c r="BK165" s="482"/>
      <c r="BL165" s="481"/>
      <c r="BM165" s="481"/>
      <c r="BN165" s="481"/>
      <c r="BO165" s="482"/>
      <c r="BP165" s="482"/>
    </row>
    <row r="166" spans="2:68" ht="14.25" hidden="1" customHeight="1">
      <c r="B166" s="481"/>
      <c r="C166" s="482"/>
      <c r="D166" s="482"/>
      <c r="E166" s="482"/>
      <c r="F166" s="482"/>
      <c r="G166" s="482"/>
      <c r="H166" s="482"/>
      <c r="I166" s="483"/>
      <c r="J166" s="483"/>
      <c r="K166" s="483"/>
      <c r="L166" s="482"/>
      <c r="M166" s="482"/>
      <c r="N166" s="482"/>
      <c r="O166" s="482"/>
      <c r="P166" s="482"/>
      <c r="Q166" s="482"/>
      <c r="R166" s="482"/>
      <c r="S166" s="482"/>
      <c r="T166" s="482"/>
      <c r="U166" s="482"/>
      <c r="V166" s="482"/>
      <c r="W166" s="482"/>
      <c r="X166" s="482"/>
      <c r="Y166" s="482"/>
      <c r="Z166" s="482"/>
      <c r="AA166" s="481"/>
      <c r="AB166" s="481"/>
      <c r="AC166" s="482"/>
      <c r="AD166" s="482"/>
      <c r="AE166" s="482"/>
      <c r="AF166" s="481"/>
      <c r="AG166" s="482"/>
      <c r="AH166" s="482"/>
      <c r="AI166" s="482"/>
      <c r="AJ166" s="481"/>
      <c r="AK166" s="481"/>
      <c r="AL166" s="481"/>
      <c r="AM166" s="482"/>
      <c r="AN166" s="487"/>
      <c r="AO166" s="490"/>
      <c r="AP166" s="485"/>
      <c r="AQ166" s="482"/>
      <c r="AR166" s="482"/>
      <c r="AS166" s="482"/>
      <c r="AT166" s="482"/>
      <c r="AU166" s="482"/>
      <c r="AV166" s="482"/>
      <c r="AW166" s="482"/>
      <c r="AX166" s="482"/>
      <c r="AY166" s="481"/>
      <c r="AZ166" s="482"/>
      <c r="BA166" s="482"/>
      <c r="BB166" s="482"/>
      <c r="BC166" s="482"/>
      <c r="BD166" s="482"/>
      <c r="BE166" s="482"/>
      <c r="BF166" s="482"/>
      <c r="BG166" s="482"/>
      <c r="BH166" s="481"/>
      <c r="BI166" s="482"/>
      <c r="BJ166" s="482"/>
      <c r="BK166" s="482"/>
      <c r="BL166" s="481"/>
      <c r="BM166" s="481"/>
      <c r="BN166" s="481"/>
      <c r="BO166" s="482"/>
      <c r="BP166" s="482"/>
    </row>
    <row r="167" spans="2:68" ht="14.25" hidden="1" customHeight="1">
      <c r="B167" s="481"/>
      <c r="C167" s="482"/>
      <c r="D167" s="482"/>
      <c r="E167" s="482"/>
      <c r="F167" s="482"/>
      <c r="G167" s="482"/>
      <c r="H167" s="482"/>
      <c r="I167" s="483"/>
      <c r="J167" s="483"/>
      <c r="K167" s="483"/>
      <c r="L167" s="482"/>
      <c r="M167" s="482"/>
      <c r="N167" s="482"/>
      <c r="O167" s="482"/>
      <c r="P167" s="482"/>
      <c r="Q167" s="482"/>
      <c r="R167" s="482"/>
      <c r="S167" s="482"/>
      <c r="T167" s="482"/>
      <c r="U167" s="482"/>
      <c r="V167" s="482"/>
      <c r="W167" s="482"/>
      <c r="X167" s="482"/>
      <c r="Y167" s="482"/>
      <c r="Z167" s="482"/>
      <c r="AA167" s="481"/>
      <c r="AB167" s="481"/>
      <c r="AC167" s="482"/>
      <c r="AD167" s="482"/>
      <c r="AE167" s="482"/>
      <c r="AF167" s="481"/>
      <c r="AG167" s="482"/>
      <c r="AH167" s="482"/>
      <c r="AI167" s="482"/>
      <c r="AJ167" s="481"/>
      <c r="AK167" s="481"/>
      <c r="AL167" s="481"/>
      <c r="AM167" s="482"/>
      <c r="AN167" s="487"/>
      <c r="AO167" s="490"/>
      <c r="AP167" s="485"/>
      <c r="AQ167" s="482"/>
      <c r="AR167" s="482"/>
      <c r="AS167" s="482"/>
      <c r="AT167" s="482"/>
      <c r="AU167" s="482"/>
      <c r="AV167" s="482"/>
      <c r="AW167" s="482"/>
      <c r="AX167" s="482"/>
      <c r="AY167" s="481"/>
      <c r="AZ167" s="482"/>
      <c r="BA167" s="482"/>
      <c r="BB167" s="482"/>
      <c r="BC167" s="482"/>
      <c r="BD167" s="482"/>
      <c r="BE167" s="482"/>
      <c r="BF167" s="482"/>
      <c r="BG167" s="482"/>
      <c r="BH167" s="481"/>
      <c r="BI167" s="482"/>
      <c r="BJ167" s="482"/>
      <c r="BK167" s="482"/>
      <c r="BL167" s="481"/>
      <c r="BM167" s="481"/>
      <c r="BN167" s="481"/>
      <c r="BO167" s="482"/>
      <c r="BP167" s="482"/>
    </row>
    <row r="168" spans="2:68" ht="14.25" hidden="1" customHeight="1">
      <c r="B168" s="481"/>
      <c r="C168" s="482"/>
      <c r="D168" s="482"/>
      <c r="E168" s="482"/>
      <c r="F168" s="482"/>
      <c r="G168" s="482"/>
      <c r="H168" s="482"/>
      <c r="I168" s="483"/>
      <c r="J168" s="483"/>
      <c r="K168" s="483"/>
      <c r="L168" s="482"/>
      <c r="M168" s="482"/>
      <c r="N168" s="482"/>
      <c r="O168" s="482"/>
      <c r="P168" s="482"/>
      <c r="Q168" s="482"/>
      <c r="R168" s="482"/>
      <c r="S168" s="482"/>
      <c r="T168" s="482"/>
      <c r="U168" s="482"/>
      <c r="V168" s="482"/>
      <c r="W168" s="482"/>
      <c r="X168" s="482"/>
      <c r="Y168" s="482"/>
      <c r="Z168" s="482"/>
      <c r="AA168" s="481"/>
      <c r="AB168" s="481"/>
      <c r="AC168" s="482"/>
      <c r="AD168" s="482"/>
      <c r="AE168" s="482"/>
      <c r="AF168" s="481"/>
      <c r="AG168" s="482"/>
      <c r="AH168" s="482"/>
      <c r="AI168" s="482"/>
      <c r="AJ168" s="481"/>
      <c r="AK168" s="481"/>
      <c r="AL168" s="481"/>
      <c r="AM168" s="482"/>
      <c r="AN168" s="487"/>
      <c r="AO168" s="490"/>
      <c r="AP168" s="485"/>
      <c r="AQ168" s="482"/>
      <c r="AR168" s="482"/>
      <c r="AS168" s="482"/>
      <c r="AT168" s="482"/>
      <c r="AU168" s="482"/>
      <c r="AV168" s="482"/>
      <c r="AW168" s="482"/>
      <c r="AX168" s="482"/>
      <c r="AY168" s="481"/>
      <c r="AZ168" s="482"/>
      <c r="BA168" s="482"/>
      <c r="BB168" s="482"/>
      <c r="BC168" s="482"/>
      <c r="BD168" s="482"/>
      <c r="BE168" s="482"/>
      <c r="BF168" s="482"/>
      <c r="BG168" s="482"/>
      <c r="BH168" s="481"/>
      <c r="BI168" s="482"/>
      <c r="BJ168" s="482"/>
      <c r="BK168" s="482"/>
      <c r="BL168" s="481"/>
      <c r="BM168" s="481"/>
      <c r="BN168" s="481"/>
      <c r="BO168" s="482"/>
      <c r="BP168" s="482"/>
    </row>
    <row r="169" spans="2:68" ht="14.25" hidden="1" customHeight="1">
      <c r="B169" s="481"/>
      <c r="C169" s="482"/>
      <c r="D169" s="482"/>
      <c r="E169" s="482"/>
      <c r="F169" s="482"/>
      <c r="G169" s="482"/>
      <c r="H169" s="482"/>
      <c r="I169" s="483"/>
      <c r="J169" s="483"/>
      <c r="K169" s="483"/>
      <c r="L169" s="482"/>
      <c r="M169" s="482"/>
      <c r="N169" s="482"/>
      <c r="O169" s="482"/>
      <c r="P169" s="482"/>
      <c r="Q169" s="482"/>
      <c r="R169" s="482"/>
      <c r="S169" s="482"/>
      <c r="T169" s="482"/>
      <c r="U169" s="482"/>
      <c r="V169" s="482"/>
      <c r="W169" s="482"/>
      <c r="X169" s="482"/>
      <c r="Y169" s="482"/>
      <c r="Z169" s="482"/>
      <c r="AA169" s="481"/>
      <c r="AB169" s="481"/>
      <c r="AC169" s="482"/>
      <c r="AD169" s="482"/>
      <c r="AE169" s="482"/>
      <c r="AF169" s="481"/>
      <c r="AG169" s="482"/>
      <c r="AH169" s="482"/>
      <c r="AI169" s="482"/>
      <c r="AJ169" s="481"/>
      <c r="AK169" s="481"/>
      <c r="AL169" s="481"/>
      <c r="AM169" s="482"/>
      <c r="AN169" s="487"/>
      <c r="AO169" s="490"/>
      <c r="AP169" s="485"/>
      <c r="AQ169" s="482"/>
      <c r="AR169" s="482"/>
      <c r="AS169" s="482"/>
      <c r="AT169" s="482"/>
      <c r="AU169" s="482"/>
      <c r="AV169" s="482"/>
      <c r="AW169" s="482"/>
      <c r="AX169" s="482"/>
      <c r="AY169" s="481"/>
      <c r="AZ169" s="482"/>
      <c r="BA169" s="482"/>
      <c r="BB169" s="482"/>
      <c r="BC169" s="482"/>
      <c r="BD169" s="482"/>
      <c r="BE169" s="482"/>
      <c r="BF169" s="482"/>
      <c r="BG169" s="482"/>
      <c r="BH169" s="481"/>
      <c r="BI169" s="482"/>
      <c r="BJ169" s="482"/>
      <c r="BK169" s="482"/>
      <c r="BL169" s="481"/>
      <c r="BM169" s="481"/>
      <c r="BN169" s="481"/>
      <c r="BO169" s="482"/>
      <c r="BP169" s="482"/>
    </row>
    <row r="170" spans="2:68" ht="14.25" hidden="1" customHeight="1">
      <c r="B170" s="481"/>
      <c r="C170" s="482"/>
      <c r="D170" s="482"/>
      <c r="E170" s="482"/>
      <c r="F170" s="482"/>
      <c r="G170" s="482"/>
      <c r="H170" s="482"/>
      <c r="I170" s="483"/>
      <c r="J170" s="483"/>
      <c r="K170" s="483"/>
      <c r="L170" s="482"/>
      <c r="M170" s="482"/>
      <c r="N170" s="482"/>
      <c r="O170" s="482"/>
      <c r="P170" s="482"/>
      <c r="Q170" s="482"/>
      <c r="R170" s="482"/>
      <c r="S170" s="482"/>
      <c r="T170" s="482"/>
      <c r="U170" s="482"/>
      <c r="V170" s="482"/>
      <c r="W170" s="482"/>
      <c r="X170" s="482"/>
      <c r="Y170" s="482"/>
      <c r="Z170" s="482"/>
      <c r="AA170" s="481"/>
      <c r="AB170" s="481"/>
      <c r="AC170" s="482"/>
      <c r="AD170" s="482"/>
      <c r="AE170" s="482"/>
      <c r="AF170" s="481"/>
      <c r="AG170" s="482"/>
      <c r="AH170" s="482"/>
      <c r="AI170" s="482"/>
      <c r="AJ170" s="481"/>
      <c r="AK170" s="481"/>
      <c r="AL170" s="481"/>
      <c r="AM170" s="482"/>
      <c r="AN170" s="487"/>
      <c r="AO170" s="490"/>
      <c r="AP170" s="485"/>
      <c r="AQ170" s="482"/>
      <c r="AR170" s="482"/>
      <c r="AS170" s="482"/>
      <c r="AT170" s="482"/>
      <c r="AU170" s="482"/>
      <c r="AV170" s="482"/>
      <c r="AW170" s="482"/>
      <c r="AX170" s="482"/>
      <c r="AY170" s="481"/>
      <c r="AZ170" s="482"/>
      <c r="BA170" s="482"/>
      <c r="BB170" s="482"/>
      <c r="BC170" s="482"/>
      <c r="BD170" s="482"/>
      <c r="BE170" s="482"/>
      <c r="BF170" s="482"/>
      <c r="BG170" s="482"/>
      <c r="BH170" s="481"/>
      <c r="BI170" s="482"/>
      <c r="BJ170" s="482"/>
      <c r="BK170" s="482"/>
      <c r="BL170" s="481"/>
      <c r="BM170" s="481"/>
      <c r="BN170" s="481"/>
      <c r="BO170" s="482"/>
      <c r="BP170" s="482"/>
    </row>
    <row r="171" spans="2:68" ht="14.25" hidden="1" customHeight="1">
      <c r="B171" s="481"/>
      <c r="C171" s="482"/>
      <c r="D171" s="482"/>
      <c r="E171" s="482"/>
      <c r="F171" s="482"/>
      <c r="G171" s="482"/>
      <c r="H171" s="482"/>
      <c r="I171" s="483"/>
      <c r="J171" s="483"/>
      <c r="K171" s="483"/>
      <c r="L171" s="482"/>
      <c r="M171" s="482"/>
      <c r="N171" s="482"/>
      <c r="O171" s="482"/>
      <c r="P171" s="482"/>
      <c r="Q171" s="482"/>
      <c r="R171" s="482"/>
      <c r="S171" s="482"/>
      <c r="T171" s="482"/>
      <c r="U171" s="482"/>
      <c r="V171" s="482"/>
      <c r="W171" s="482"/>
      <c r="X171" s="482"/>
      <c r="Y171" s="482"/>
      <c r="Z171" s="482"/>
      <c r="AA171" s="481"/>
      <c r="AB171" s="481"/>
      <c r="AC171" s="482"/>
      <c r="AD171" s="482"/>
      <c r="AE171" s="482"/>
      <c r="AF171" s="481"/>
      <c r="AG171" s="482"/>
      <c r="AH171" s="482"/>
      <c r="AI171" s="482"/>
      <c r="AJ171" s="481"/>
      <c r="AK171" s="481"/>
      <c r="AL171" s="481"/>
      <c r="AM171" s="482"/>
      <c r="AN171" s="487"/>
      <c r="AO171" s="490"/>
      <c r="AP171" s="485"/>
      <c r="AQ171" s="482"/>
      <c r="AR171" s="482"/>
      <c r="AS171" s="482"/>
      <c r="AT171" s="482"/>
      <c r="AU171" s="482"/>
      <c r="AV171" s="482"/>
      <c r="AW171" s="482"/>
      <c r="AX171" s="482"/>
      <c r="AY171" s="481"/>
      <c r="AZ171" s="482"/>
      <c r="BA171" s="482"/>
      <c r="BB171" s="482"/>
      <c r="BC171" s="482"/>
      <c r="BD171" s="482"/>
      <c r="BE171" s="482"/>
      <c r="BF171" s="482"/>
      <c r="BG171" s="482"/>
      <c r="BH171" s="481"/>
      <c r="BI171" s="482"/>
      <c r="BJ171" s="482"/>
      <c r="BK171" s="482"/>
      <c r="BL171" s="481"/>
      <c r="BM171" s="481"/>
      <c r="BN171" s="481"/>
      <c r="BO171" s="482"/>
      <c r="BP171" s="482"/>
    </row>
    <row r="172" spans="2:68" ht="14.25" hidden="1" customHeight="1">
      <c r="B172" s="481"/>
      <c r="C172" s="482"/>
      <c r="D172" s="482"/>
      <c r="E172" s="482"/>
      <c r="F172" s="482"/>
      <c r="G172" s="482"/>
      <c r="H172" s="482"/>
      <c r="I172" s="483"/>
      <c r="J172" s="483"/>
      <c r="K172" s="483"/>
      <c r="L172" s="482"/>
      <c r="M172" s="482"/>
      <c r="N172" s="482"/>
      <c r="O172" s="482"/>
      <c r="P172" s="482"/>
      <c r="Q172" s="482"/>
      <c r="R172" s="482"/>
      <c r="S172" s="482"/>
      <c r="T172" s="482"/>
      <c r="U172" s="482"/>
      <c r="V172" s="482"/>
      <c r="W172" s="482"/>
      <c r="X172" s="482"/>
      <c r="Y172" s="482"/>
      <c r="Z172" s="482"/>
      <c r="AA172" s="481"/>
      <c r="AB172" s="481"/>
      <c r="AC172" s="482"/>
      <c r="AD172" s="482"/>
      <c r="AE172" s="482"/>
      <c r="AF172" s="481"/>
      <c r="AG172" s="482"/>
      <c r="AH172" s="482"/>
      <c r="AI172" s="482"/>
      <c r="AJ172" s="481"/>
      <c r="AK172" s="481"/>
      <c r="AL172" s="481"/>
      <c r="AM172" s="482"/>
      <c r="AN172" s="487"/>
      <c r="AO172" s="490"/>
      <c r="AP172" s="485"/>
      <c r="AQ172" s="482"/>
      <c r="AR172" s="482"/>
      <c r="AS172" s="482"/>
      <c r="AT172" s="482"/>
      <c r="AU172" s="482"/>
      <c r="AV172" s="482"/>
      <c r="AW172" s="482"/>
      <c r="AX172" s="482"/>
      <c r="AY172" s="481"/>
      <c r="AZ172" s="482"/>
      <c r="BA172" s="482"/>
      <c r="BB172" s="482"/>
      <c r="BC172" s="482"/>
      <c r="BD172" s="482"/>
      <c r="BE172" s="482"/>
      <c r="BF172" s="482"/>
      <c r="BG172" s="482"/>
      <c r="BH172" s="481"/>
      <c r="BI172" s="482"/>
      <c r="BJ172" s="482"/>
      <c r="BK172" s="482"/>
      <c r="BL172" s="481"/>
      <c r="BM172" s="481"/>
      <c r="BN172" s="481"/>
      <c r="BO172" s="482"/>
      <c r="BP172" s="482"/>
    </row>
    <row r="173" spans="2:68" ht="14.25" hidden="1" customHeight="1">
      <c r="B173" s="481"/>
      <c r="C173" s="482"/>
      <c r="D173" s="482"/>
      <c r="E173" s="482"/>
      <c r="F173" s="482"/>
      <c r="G173" s="482"/>
      <c r="H173" s="482"/>
      <c r="I173" s="483"/>
      <c r="J173" s="483"/>
      <c r="K173" s="483"/>
      <c r="L173" s="482"/>
      <c r="M173" s="482"/>
      <c r="N173" s="482"/>
      <c r="O173" s="482"/>
      <c r="P173" s="482"/>
      <c r="Q173" s="482"/>
      <c r="R173" s="482"/>
      <c r="S173" s="482"/>
      <c r="T173" s="482"/>
      <c r="U173" s="482"/>
      <c r="V173" s="482"/>
      <c r="W173" s="482"/>
      <c r="X173" s="482"/>
      <c r="Y173" s="482"/>
      <c r="Z173" s="482"/>
      <c r="AA173" s="481"/>
      <c r="AB173" s="481"/>
      <c r="AC173" s="482"/>
      <c r="AD173" s="482"/>
      <c r="AE173" s="482"/>
      <c r="AF173" s="481"/>
      <c r="AG173" s="482"/>
      <c r="AH173" s="482"/>
      <c r="AI173" s="482"/>
      <c r="AJ173" s="481"/>
      <c r="AK173" s="481"/>
      <c r="AL173" s="481"/>
      <c r="AM173" s="482"/>
      <c r="AN173" s="487"/>
      <c r="AO173" s="490"/>
      <c r="AP173" s="485"/>
      <c r="AQ173" s="482"/>
      <c r="AR173" s="482"/>
      <c r="AS173" s="482"/>
      <c r="AT173" s="482"/>
      <c r="AU173" s="482"/>
      <c r="AV173" s="482"/>
      <c r="AW173" s="482"/>
      <c r="AX173" s="482"/>
      <c r="AY173" s="481"/>
      <c r="AZ173" s="482"/>
      <c r="BA173" s="482"/>
      <c r="BB173" s="482"/>
      <c r="BC173" s="482"/>
      <c r="BD173" s="482"/>
      <c r="BE173" s="482"/>
      <c r="BF173" s="482"/>
      <c r="BG173" s="482"/>
      <c r="BH173" s="481"/>
      <c r="BI173" s="482"/>
      <c r="BJ173" s="482"/>
      <c r="BK173" s="482"/>
      <c r="BL173" s="481"/>
      <c r="BM173" s="481"/>
      <c r="BN173" s="481"/>
      <c r="BO173" s="482"/>
      <c r="BP173" s="482"/>
    </row>
    <row r="174" spans="2:68" ht="14.25" hidden="1" customHeight="1">
      <c r="B174" s="481"/>
      <c r="C174" s="482"/>
      <c r="D174" s="482"/>
      <c r="E174" s="482"/>
      <c r="F174" s="482"/>
      <c r="G174" s="482"/>
      <c r="H174" s="482"/>
      <c r="I174" s="483"/>
      <c r="J174" s="483"/>
      <c r="K174" s="483"/>
      <c r="L174" s="482"/>
      <c r="M174" s="482"/>
      <c r="N174" s="482"/>
      <c r="O174" s="482"/>
      <c r="P174" s="482"/>
      <c r="Q174" s="482"/>
      <c r="R174" s="482"/>
      <c r="S174" s="482"/>
      <c r="T174" s="482"/>
      <c r="U174" s="482"/>
      <c r="V174" s="482"/>
      <c r="W174" s="482"/>
      <c r="X174" s="482"/>
      <c r="Y174" s="482"/>
      <c r="Z174" s="482"/>
      <c r="AA174" s="481"/>
      <c r="AB174" s="481"/>
      <c r="AC174" s="482"/>
      <c r="AD174" s="482"/>
      <c r="AE174" s="482"/>
      <c r="AF174" s="481"/>
      <c r="AG174" s="482"/>
      <c r="AH174" s="482"/>
      <c r="AI174" s="482"/>
      <c r="AJ174" s="481"/>
      <c r="AK174" s="481"/>
      <c r="AL174" s="481"/>
      <c r="AM174" s="482"/>
      <c r="AN174" s="487"/>
      <c r="AO174" s="490"/>
      <c r="AP174" s="485"/>
      <c r="AQ174" s="482"/>
      <c r="AR174" s="482"/>
      <c r="AS174" s="482"/>
      <c r="AT174" s="482"/>
      <c r="AU174" s="482"/>
      <c r="AV174" s="482"/>
      <c r="AW174" s="482"/>
      <c r="AX174" s="482"/>
      <c r="AY174" s="481"/>
      <c r="AZ174" s="482"/>
      <c r="BA174" s="482"/>
      <c r="BB174" s="482"/>
      <c r="BC174" s="482"/>
      <c r="BD174" s="482"/>
      <c r="BE174" s="482"/>
      <c r="BF174" s="482"/>
      <c r="BG174" s="482"/>
      <c r="BH174" s="481"/>
      <c r="BI174" s="482"/>
      <c r="BJ174" s="482"/>
      <c r="BK174" s="482"/>
      <c r="BL174" s="481"/>
      <c r="BM174" s="481"/>
      <c r="BN174" s="481"/>
      <c r="BO174" s="482"/>
      <c r="BP174" s="482"/>
    </row>
    <row r="175" spans="2:68" ht="14.25" hidden="1" customHeight="1">
      <c r="B175" s="481"/>
      <c r="C175" s="482"/>
      <c r="D175" s="482"/>
      <c r="E175" s="482"/>
      <c r="F175" s="482"/>
      <c r="G175" s="482"/>
      <c r="H175" s="482"/>
      <c r="I175" s="483"/>
      <c r="J175" s="483"/>
      <c r="K175" s="483"/>
      <c r="L175" s="482"/>
      <c r="M175" s="482"/>
      <c r="N175" s="482"/>
      <c r="O175" s="482"/>
      <c r="P175" s="482"/>
      <c r="Q175" s="482"/>
      <c r="R175" s="482"/>
      <c r="S175" s="482"/>
      <c r="T175" s="482"/>
      <c r="U175" s="482"/>
      <c r="V175" s="482"/>
      <c r="W175" s="482"/>
      <c r="X175" s="482"/>
      <c r="Y175" s="482"/>
      <c r="Z175" s="482"/>
      <c r="AA175" s="481"/>
      <c r="AB175" s="481"/>
      <c r="AC175" s="482"/>
      <c r="AD175" s="482"/>
      <c r="AE175" s="482"/>
      <c r="AF175" s="481"/>
      <c r="AG175" s="482"/>
      <c r="AH175" s="482"/>
      <c r="AI175" s="482"/>
      <c r="AJ175" s="481"/>
      <c r="AK175" s="481"/>
      <c r="AL175" s="481"/>
      <c r="AM175" s="482"/>
      <c r="AN175" s="487"/>
      <c r="AO175" s="490"/>
      <c r="AP175" s="485"/>
      <c r="AQ175" s="482"/>
      <c r="AR175" s="482"/>
      <c r="AS175" s="482"/>
      <c r="AT175" s="482"/>
      <c r="AU175" s="482"/>
      <c r="AV175" s="482"/>
      <c r="AW175" s="482"/>
      <c r="AX175" s="482"/>
      <c r="AY175" s="481"/>
      <c r="AZ175" s="482"/>
      <c r="BA175" s="482"/>
      <c r="BB175" s="482"/>
      <c r="BC175" s="482"/>
      <c r="BD175" s="482"/>
      <c r="BE175" s="482"/>
      <c r="BF175" s="482"/>
      <c r="BG175" s="482"/>
      <c r="BH175" s="481"/>
      <c r="BI175" s="482"/>
      <c r="BJ175" s="482"/>
      <c r="BK175" s="482"/>
      <c r="BL175" s="481"/>
      <c r="BM175" s="481"/>
      <c r="BN175" s="481"/>
      <c r="BO175" s="482"/>
      <c r="BP175" s="482"/>
    </row>
    <row r="176" spans="2:68" ht="14.25" hidden="1" customHeight="1">
      <c r="B176" s="481"/>
      <c r="C176" s="482"/>
      <c r="D176" s="482"/>
      <c r="E176" s="482"/>
      <c r="F176" s="482"/>
      <c r="G176" s="482"/>
      <c r="H176" s="482"/>
      <c r="I176" s="483"/>
      <c r="J176" s="483"/>
      <c r="K176" s="483"/>
      <c r="L176" s="482"/>
      <c r="M176" s="482"/>
      <c r="N176" s="482"/>
      <c r="O176" s="482"/>
      <c r="P176" s="482"/>
      <c r="Q176" s="482"/>
      <c r="R176" s="482"/>
      <c r="S176" s="482"/>
      <c r="T176" s="482"/>
      <c r="U176" s="482"/>
      <c r="V176" s="482"/>
      <c r="W176" s="482"/>
      <c r="X176" s="482"/>
      <c r="Y176" s="482"/>
      <c r="Z176" s="482"/>
      <c r="AA176" s="481"/>
      <c r="AB176" s="481"/>
      <c r="AC176" s="482"/>
      <c r="AD176" s="482"/>
      <c r="AE176" s="482"/>
      <c r="AF176" s="481"/>
      <c r="AG176" s="482"/>
      <c r="AH176" s="482"/>
      <c r="AI176" s="482"/>
      <c r="AJ176" s="481"/>
      <c r="AK176" s="481"/>
      <c r="AL176" s="481"/>
      <c r="AM176" s="482"/>
      <c r="AN176" s="487"/>
      <c r="AO176" s="490"/>
      <c r="AP176" s="485"/>
      <c r="AQ176" s="482"/>
      <c r="AR176" s="482"/>
      <c r="AS176" s="482"/>
      <c r="AT176" s="482"/>
      <c r="AU176" s="482"/>
      <c r="AV176" s="482"/>
      <c r="AW176" s="482"/>
      <c r="AX176" s="482"/>
      <c r="AY176" s="481"/>
      <c r="AZ176" s="482"/>
      <c r="BA176" s="482"/>
      <c r="BB176" s="482"/>
      <c r="BC176" s="482"/>
      <c r="BD176" s="482"/>
      <c r="BE176" s="482"/>
      <c r="BF176" s="482"/>
      <c r="BG176" s="482"/>
      <c r="BH176" s="481"/>
      <c r="BI176" s="482"/>
      <c r="BJ176" s="482"/>
      <c r="BK176" s="482"/>
      <c r="BL176" s="481"/>
      <c r="BM176" s="481"/>
      <c r="BN176" s="481"/>
      <c r="BO176" s="482"/>
      <c r="BP176" s="482"/>
    </row>
    <row r="177" spans="2:68" ht="14.25" hidden="1" customHeight="1">
      <c r="B177" s="481"/>
      <c r="C177" s="482"/>
      <c r="D177" s="482"/>
      <c r="E177" s="482"/>
      <c r="F177" s="482"/>
      <c r="G177" s="482"/>
      <c r="H177" s="482"/>
      <c r="I177" s="483"/>
      <c r="J177" s="483"/>
      <c r="K177" s="483"/>
      <c r="L177" s="482"/>
      <c r="M177" s="482"/>
      <c r="N177" s="482"/>
      <c r="O177" s="482"/>
      <c r="P177" s="482"/>
      <c r="Q177" s="482"/>
      <c r="R177" s="482"/>
      <c r="S177" s="482"/>
      <c r="T177" s="482"/>
      <c r="U177" s="482"/>
      <c r="V177" s="482"/>
      <c r="W177" s="482"/>
      <c r="X177" s="482"/>
      <c r="Y177" s="482"/>
      <c r="Z177" s="482"/>
      <c r="AA177" s="481"/>
      <c r="AB177" s="481"/>
      <c r="AC177" s="482"/>
      <c r="AD177" s="482"/>
      <c r="AE177" s="482"/>
      <c r="AF177" s="481"/>
      <c r="AG177" s="482"/>
      <c r="AH177" s="482"/>
      <c r="AI177" s="482"/>
      <c r="AJ177" s="481"/>
      <c r="AK177" s="481"/>
      <c r="AL177" s="481"/>
      <c r="AM177" s="482"/>
      <c r="AN177" s="487"/>
      <c r="AO177" s="490"/>
      <c r="AP177" s="485"/>
      <c r="AQ177" s="482"/>
      <c r="AR177" s="482"/>
      <c r="AS177" s="482"/>
      <c r="AT177" s="482"/>
      <c r="AU177" s="482"/>
      <c r="AV177" s="482"/>
      <c r="AW177" s="482"/>
      <c r="AX177" s="482"/>
      <c r="AY177" s="481"/>
      <c r="AZ177" s="482"/>
      <c r="BA177" s="482"/>
      <c r="BB177" s="482"/>
      <c r="BC177" s="482"/>
      <c r="BD177" s="482"/>
      <c r="BE177" s="482"/>
      <c r="BF177" s="482"/>
      <c r="BG177" s="482"/>
      <c r="BH177" s="481"/>
      <c r="BI177" s="482"/>
      <c r="BJ177" s="482"/>
      <c r="BK177" s="482"/>
      <c r="BL177" s="481"/>
      <c r="BM177" s="481"/>
      <c r="BN177" s="481"/>
      <c r="BO177" s="482"/>
      <c r="BP177" s="482"/>
    </row>
    <row r="178" spans="2:68" ht="14.25" hidden="1" customHeight="1">
      <c r="B178" s="481"/>
      <c r="C178" s="482"/>
      <c r="D178" s="482"/>
      <c r="E178" s="482"/>
      <c r="F178" s="482"/>
      <c r="G178" s="482"/>
      <c r="H178" s="482"/>
      <c r="I178" s="483"/>
      <c r="J178" s="483"/>
      <c r="K178" s="483"/>
      <c r="L178" s="482"/>
      <c r="M178" s="482"/>
      <c r="N178" s="482"/>
      <c r="O178" s="482"/>
      <c r="P178" s="482"/>
      <c r="Q178" s="482"/>
      <c r="R178" s="482"/>
      <c r="S178" s="482"/>
      <c r="T178" s="482"/>
      <c r="U178" s="482"/>
      <c r="V178" s="482"/>
      <c r="W178" s="482"/>
      <c r="X178" s="482"/>
      <c r="Y178" s="482"/>
      <c r="Z178" s="482"/>
      <c r="AA178" s="481"/>
      <c r="AB178" s="481"/>
      <c r="AC178" s="482"/>
      <c r="AD178" s="482"/>
      <c r="AE178" s="482"/>
      <c r="AF178" s="481"/>
      <c r="AG178" s="482"/>
      <c r="AH178" s="482"/>
      <c r="AI178" s="482"/>
      <c r="AJ178" s="481"/>
      <c r="AK178" s="481"/>
      <c r="AL178" s="481"/>
      <c r="AM178" s="482"/>
      <c r="AN178" s="487"/>
      <c r="AO178" s="490"/>
      <c r="AP178" s="485"/>
      <c r="AQ178" s="482"/>
      <c r="AR178" s="482"/>
      <c r="AS178" s="482"/>
      <c r="AT178" s="482"/>
      <c r="AU178" s="482"/>
      <c r="AV178" s="482"/>
      <c r="AW178" s="482"/>
      <c r="AX178" s="482"/>
      <c r="AY178" s="481"/>
      <c r="AZ178" s="482"/>
      <c r="BA178" s="482"/>
      <c r="BB178" s="482"/>
      <c r="BC178" s="482"/>
      <c r="BD178" s="482"/>
      <c r="BE178" s="482"/>
      <c r="BF178" s="482"/>
      <c r="BG178" s="482"/>
      <c r="BH178" s="481"/>
      <c r="BI178" s="482"/>
      <c r="BJ178" s="482"/>
      <c r="BK178" s="482"/>
      <c r="BL178" s="481"/>
      <c r="BM178" s="481"/>
      <c r="BN178" s="481"/>
      <c r="BO178" s="482"/>
      <c r="BP178" s="482"/>
    </row>
    <row r="179" spans="2:68" ht="14.25" hidden="1" customHeight="1">
      <c r="B179" s="481"/>
      <c r="C179" s="482"/>
      <c r="D179" s="482"/>
      <c r="E179" s="482"/>
      <c r="F179" s="482"/>
      <c r="G179" s="482"/>
      <c r="H179" s="482"/>
      <c r="I179" s="483"/>
      <c r="J179" s="483"/>
      <c r="K179" s="483"/>
      <c r="L179" s="482"/>
      <c r="M179" s="482"/>
      <c r="N179" s="482"/>
      <c r="O179" s="482"/>
      <c r="P179" s="482"/>
      <c r="Q179" s="482"/>
      <c r="R179" s="482"/>
      <c r="S179" s="482"/>
      <c r="T179" s="482"/>
      <c r="U179" s="482"/>
      <c r="V179" s="482"/>
      <c r="W179" s="482"/>
      <c r="X179" s="482"/>
      <c r="Y179" s="482"/>
      <c r="Z179" s="482"/>
      <c r="AA179" s="481"/>
      <c r="AB179" s="481"/>
      <c r="AC179" s="482"/>
      <c r="AD179" s="482"/>
      <c r="AE179" s="482"/>
      <c r="AF179" s="481"/>
      <c r="AG179" s="482"/>
      <c r="AH179" s="482"/>
      <c r="AI179" s="482"/>
      <c r="AJ179" s="481"/>
      <c r="AK179" s="481"/>
      <c r="AL179" s="481"/>
      <c r="AM179" s="482"/>
      <c r="AN179" s="487"/>
      <c r="AO179" s="490"/>
      <c r="AP179" s="485"/>
      <c r="AQ179" s="482"/>
      <c r="AR179" s="482"/>
      <c r="AS179" s="482"/>
      <c r="AT179" s="482"/>
      <c r="AU179" s="482"/>
      <c r="AV179" s="482"/>
      <c r="AW179" s="482"/>
      <c r="AX179" s="482"/>
      <c r="AY179" s="481"/>
      <c r="AZ179" s="482"/>
      <c r="BA179" s="482"/>
      <c r="BB179" s="482"/>
      <c r="BC179" s="482"/>
      <c r="BD179" s="482"/>
      <c r="BE179" s="482"/>
      <c r="BF179" s="482"/>
      <c r="BG179" s="482"/>
      <c r="BH179" s="481"/>
      <c r="BI179" s="482"/>
      <c r="BJ179" s="482"/>
      <c r="BK179" s="482"/>
      <c r="BL179" s="481"/>
      <c r="BM179" s="481"/>
      <c r="BN179" s="481"/>
      <c r="BO179" s="482"/>
      <c r="BP179" s="482"/>
    </row>
    <row r="180" spans="2:68" ht="14.25" hidden="1" customHeight="1">
      <c r="B180" s="481"/>
      <c r="C180" s="482"/>
      <c r="D180" s="482"/>
      <c r="E180" s="482"/>
      <c r="F180" s="482"/>
      <c r="G180" s="482"/>
      <c r="H180" s="482"/>
      <c r="I180" s="483"/>
      <c r="J180" s="483"/>
      <c r="K180" s="483"/>
      <c r="L180" s="482"/>
      <c r="M180" s="482"/>
      <c r="N180" s="482"/>
      <c r="O180" s="482"/>
      <c r="P180" s="482"/>
      <c r="Q180" s="482"/>
      <c r="R180" s="482"/>
      <c r="S180" s="482"/>
      <c r="T180" s="482"/>
      <c r="U180" s="482"/>
      <c r="V180" s="482"/>
      <c r="W180" s="482"/>
      <c r="X180" s="482"/>
      <c r="Y180" s="482"/>
      <c r="Z180" s="482"/>
      <c r="AA180" s="481"/>
      <c r="AB180" s="481"/>
      <c r="AC180" s="482"/>
      <c r="AD180" s="482"/>
      <c r="AE180" s="482"/>
      <c r="AF180" s="481"/>
      <c r="AG180" s="482"/>
      <c r="AH180" s="482"/>
      <c r="AI180" s="482"/>
      <c r="AJ180" s="481"/>
      <c r="AK180" s="481"/>
      <c r="AL180" s="481"/>
      <c r="AM180" s="482"/>
      <c r="AN180" s="487"/>
      <c r="AO180" s="490"/>
      <c r="AP180" s="485"/>
      <c r="AQ180" s="482"/>
      <c r="AR180" s="482"/>
      <c r="AS180" s="482"/>
      <c r="AT180" s="482"/>
      <c r="AU180" s="482"/>
      <c r="AV180" s="482"/>
      <c r="AW180" s="482"/>
      <c r="AX180" s="482"/>
      <c r="AY180" s="481"/>
      <c r="AZ180" s="482"/>
      <c r="BA180" s="482"/>
      <c r="BB180" s="482"/>
      <c r="BC180" s="482"/>
      <c r="BD180" s="482"/>
      <c r="BE180" s="482"/>
      <c r="BF180" s="482"/>
      <c r="BG180" s="482"/>
      <c r="BH180" s="481"/>
      <c r="BI180" s="482"/>
      <c r="BJ180" s="482"/>
      <c r="BK180" s="482"/>
      <c r="BL180" s="481"/>
      <c r="BM180" s="481"/>
      <c r="BN180" s="481"/>
      <c r="BO180" s="482"/>
      <c r="BP180" s="482"/>
    </row>
    <row r="181" spans="2:68" ht="14.25" hidden="1" customHeight="1">
      <c r="B181" s="481"/>
      <c r="C181" s="482"/>
      <c r="D181" s="482"/>
      <c r="E181" s="482"/>
      <c r="F181" s="482"/>
      <c r="G181" s="482"/>
      <c r="H181" s="482"/>
      <c r="I181" s="483"/>
      <c r="J181" s="483"/>
      <c r="K181" s="483"/>
      <c r="L181" s="482"/>
      <c r="M181" s="482"/>
      <c r="N181" s="482"/>
      <c r="O181" s="482"/>
      <c r="P181" s="482"/>
      <c r="Q181" s="482"/>
      <c r="R181" s="482"/>
      <c r="S181" s="482"/>
      <c r="T181" s="482"/>
      <c r="U181" s="482"/>
      <c r="V181" s="482"/>
      <c r="W181" s="482"/>
      <c r="X181" s="482"/>
      <c r="Y181" s="482"/>
      <c r="Z181" s="482"/>
      <c r="AA181" s="481"/>
      <c r="AB181" s="481"/>
      <c r="AC181" s="482"/>
      <c r="AD181" s="482"/>
      <c r="AE181" s="482"/>
      <c r="AF181" s="481"/>
      <c r="AG181" s="482"/>
      <c r="AH181" s="482"/>
      <c r="AI181" s="482"/>
      <c r="AJ181" s="481"/>
      <c r="AK181" s="481"/>
      <c r="AL181" s="481"/>
      <c r="AM181" s="482"/>
      <c r="AN181" s="487"/>
      <c r="AO181" s="490"/>
      <c r="AP181" s="485"/>
      <c r="AQ181" s="482"/>
      <c r="AR181" s="482"/>
      <c r="AS181" s="482"/>
      <c r="AT181" s="482"/>
      <c r="AU181" s="482"/>
      <c r="AV181" s="482"/>
      <c r="AW181" s="482"/>
      <c r="AX181" s="482"/>
      <c r="AY181" s="481"/>
      <c r="AZ181" s="482"/>
      <c r="BA181" s="482"/>
      <c r="BB181" s="482"/>
      <c r="BC181" s="482"/>
      <c r="BD181" s="482"/>
      <c r="BE181" s="482"/>
      <c r="BF181" s="482"/>
      <c r="BG181" s="482"/>
      <c r="BH181" s="481"/>
      <c r="BI181" s="482"/>
      <c r="BJ181" s="482"/>
      <c r="BK181" s="482"/>
      <c r="BL181" s="481"/>
      <c r="BM181" s="481"/>
      <c r="BN181" s="481"/>
      <c r="BO181" s="482"/>
      <c r="BP181" s="482"/>
    </row>
    <row r="182" spans="2:68" ht="14.25" hidden="1" customHeight="1">
      <c r="B182" s="481"/>
      <c r="C182" s="482"/>
      <c r="D182" s="482"/>
      <c r="E182" s="482"/>
      <c r="F182" s="482"/>
      <c r="G182" s="482"/>
      <c r="H182" s="482"/>
      <c r="I182" s="483"/>
      <c r="J182" s="483"/>
      <c r="K182" s="483"/>
      <c r="L182" s="482"/>
      <c r="M182" s="482"/>
      <c r="N182" s="482"/>
      <c r="O182" s="482"/>
      <c r="P182" s="482"/>
      <c r="Q182" s="482"/>
      <c r="R182" s="482"/>
      <c r="S182" s="482"/>
      <c r="T182" s="482"/>
      <c r="U182" s="482"/>
      <c r="V182" s="482"/>
      <c r="W182" s="482"/>
      <c r="X182" s="482"/>
      <c r="Y182" s="482"/>
      <c r="Z182" s="482"/>
      <c r="AA182" s="481"/>
      <c r="AB182" s="481"/>
      <c r="AC182" s="482"/>
      <c r="AD182" s="482"/>
      <c r="AE182" s="482"/>
      <c r="AF182" s="481"/>
      <c r="AG182" s="482"/>
      <c r="AH182" s="482"/>
      <c r="AI182" s="482"/>
      <c r="AJ182" s="481"/>
      <c r="AK182" s="481"/>
      <c r="AL182" s="481"/>
      <c r="AM182" s="482"/>
      <c r="AN182" s="487"/>
      <c r="AO182" s="490"/>
      <c r="AP182" s="485"/>
      <c r="AQ182" s="482"/>
      <c r="AR182" s="482"/>
      <c r="AS182" s="482"/>
      <c r="AT182" s="482"/>
      <c r="AU182" s="482"/>
      <c r="AV182" s="482"/>
      <c r="AW182" s="482"/>
      <c r="AX182" s="482"/>
      <c r="AY182" s="481"/>
      <c r="AZ182" s="482"/>
      <c r="BA182" s="482"/>
      <c r="BB182" s="482"/>
      <c r="BC182" s="482"/>
      <c r="BD182" s="482"/>
      <c r="BE182" s="482"/>
      <c r="BF182" s="482"/>
      <c r="BG182" s="482"/>
      <c r="BH182" s="481"/>
      <c r="BI182" s="482"/>
      <c r="BJ182" s="482"/>
      <c r="BK182" s="482"/>
      <c r="BL182" s="481"/>
      <c r="BM182" s="481"/>
      <c r="BN182" s="481"/>
      <c r="BO182" s="482"/>
      <c r="BP182" s="482"/>
    </row>
    <row r="183" spans="2:68" ht="14.25" hidden="1" customHeight="1">
      <c r="B183" s="481"/>
      <c r="C183" s="482"/>
      <c r="D183" s="482"/>
      <c r="E183" s="482"/>
      <c r="F183" s="482"/>
      <c r="G183" s="482"/>
      <c r="H183" s="482"/>
      <c r="I183" s="483"/>
      <c r="J183" s="483"/>
      <c r="K183" s="483"/>
      <c r="L183" s="482"/>
      <c r="M183" s="482"/>
      <c r="N183" s="482"/>
      <c r="O183" s="482"/>
      <c r="P183" s="482"/>
      <c r="Q183" s="482"/>
      <c r="R183" s="482"/>
      <c r="S183" s="482"/>
      <c r="T183" s="482"/>
      <c r="U183" s="482"/>
      <c r="V183" s="482"/>
      <c r="W183" s="482"/>
      <c r="X183" s="482"/>
      <c r="Y183" s="482"/>
      <c r="Z183" s="482"/>
      <c r="AA183" s="481"/>
      <c r="AB183" s="481"/>
      <c r="AC183" s="482"/>
      <c r="AD183" s="482"/>
      <c r="AE183" s="482"/>
      <c r="AF183" s="481"/>
      <c r="AG183" s="482"/>
      <c r="AH183" s="482"/>
      <c r="AI183" s="482"/>
      <c r="AJ183" s="481"/>
      <c r="AK183" s="481"/>
      <c r="AL183" s="481"/>
      <c r="AM183" s="482"/>
      <c r="AN183" s="487"/>
      <c r="AO183" s="490"/>
      <c r="AP183" s="485"/>
      <c r="AQ183" s="482"/>
      <c r="AR183" s="482"/>
      <c r="AS183" s="482"/>
      <c r="AT183" s="482"/>
      <c r="AU183" s="482"/>
      <c r="AV183" s="482"/>
      <c r="AW183" s="482"/>
      <c r="AX183" s="482"/>
      <c r="AY183" s="481"/>
      <c r="AZ183" s="482"/>
      <c r="BA183" s="482"/>
      <c r="BB183" s="482"/>
      <c r="BC183" s="482"/>
      <c r="BD183" s="482"/>
      <c r="BE183" s="482"/>
      <c r="BF183" s="482"/>
      <c r="BG183" s="482"/>
      <c r="BH183" s="481"/>
      <c r="BI183" s="482"/>
      <c r="BJ183" s="482"/>
      <c r="BK183" s="482"/>
      <c r="BL183" s="481"/>
      <c r="BM183" s="481"/>
      <c r="BN183" s="481"/>
      <c r="BO183" s="482"/>
      <c r="BP183" s="482"/>
    </row>
    <row r="184" spans="2:68" ht="14.25" hidden="1" customHeight="1">
      <c r="B184" s="481"/>
      <c r="C184" s="482"/>
      <c r="D184" s="482"/>
      <c r="E184" s="482"/>
      <c r="F184" s="482"/>
      <c r="G184" s="482"/>
      <c r="H184" s="482"/>
      <c r="I184" s="483"/>
      <c r="J184" s="483"/>
      <c r="K184" s="483"/>
      <c r="L184" s="482"/>
      <c r="M184" s="482"/>
      <c r="N184" s="482"/>
      <c r="O184" s="482"/>
      <c r="P184" s="482"/>
      <c r="Q184" s="482"/>
      <c r="R184" s="482"/>
      <c r="S184" s="482"/>
      <c r="T184" s="482"/>
      <c r="U184" s="482"/>
      <c r="V184" s="482"/>
      <c r="W184" s="482"/>
      <c r="X184" s="482"/>
      <c r="Y184" s="482"/>
      <c r="Z184" s="482"/>
      <c r="AA184" s="481"/>
      <c r="AB184" s="481"/>
      <c r="AC184" s="482"/>
      <c r="AD184" s="482"/>
      <c r="AE184" s="482"/>
      <c r="AF184" s="481"/>
      <c r="AG184" s="482"/>
      <c r="AH184" s="482"/>
      <c r="AI184" s="482"/>
      <c r="AJ184" s="481"/>
      <c r="AK184" s="481"/>
      <c r="AL184" s="481"/>
      <c r="AM184" s="482"/>
      <c r="AN184" s="487"/>
      <c r="AO184" s="490"/>
      <c r="AP184" s="485"/>
      <c r="AQ184" s="482"/>
      <c r="AR184" s="482"/>
      <c r="AS184" s="482"/>
      <c r="AT184" s="482"/>
      <c r="AU184" s="482"/>
      <c r="AV184" s="482"/>
      <c r="AW184" s="482"/>
      <c r="AX184" s="482"/>
      <c r="AY184" s="481"/>
      <c r="AZ184" s="482"/>
      <c r="BA184" s="482"/>
      <c r="BB184" s="482"/>
      <c r="BC184" s="482"/>
      <c r="BD184" s="482"/>
      <c r="BE184" s="482"/>
      <c r="BF184" s="482"/>
      <c r="BG184" s="482"/>
      <c r="BH184" s="481"/>
      <c r="BI184" s="482"/>
      <c r="BJ184" s="482"/>
      <c r="BK184" s="482"/>
      <c r="BL184" s="481"/>
      <c r="BM184" s="481"/>
      <c r="BN184" s="481"/>
      <c r="BO184" s="482"/>
      <c r="BP184" s="482"/>
    </row>
    <row r="185" spans="2:68" ht="14.25" hidden="1" customHeight="1">
      <c r="B185" s="481"/>
      <c r="C185" s="482"/>
      <c r="D185" s="482"/>
      <c r="E185" s="482"/>
      <c r="F185" s="482"/>
      <c r="G185" s="482"/>
      <c r="H185" s="482"/>
      <c r="I185" s="483"/>
      <c r="J185" s="483"/>
      <c r="K185" s="483"/>
      <c r="L185" s="482"/>
      <c r="M185" s="482"/>
      <c r="N185" s="482"/>
      <c r="O185" s="482"/>
      <c r="P185" s="482"/>
      <c r="Q185" s="482"/>
      <c r="R185" s="482"/>
      <c r="S185" s="482"/>
      <c r="T185" s="482"/>
      <c r="U185" s="482"/>
      <c r="V185" s="482"/>
      <c r="W185" s="482"/>
      <c r="X185" s="482"/>
      <c r="Y185" s="482"/>
      <c r="Z185" s="482"/>
      <c r="AA185" s="481"/>
      <c r="AB185" s="481"/>
      <c r="AC185" s="482"/>
      <c r="AD185" s="482"/>
      <c r="AE185" s="482"/>
      <c r="AF185" s="481"/>
      <c r="AG185" s="482"/>
      <c r="AH185" s="482"/>
      <c r="AI185" s="482"/>
      <c r="AJ185" s="481"/>
      <c r="AK185" s="481"/>
      <c r="AL185" s="481"/>
      <c r="AM185" s="482"/>
      <c r="AN185" s="487"/>
      <c r="AO185" s="490"/>
      <c r="AP185" s="485"/>
      <c r="AQ185" s="482"/>
      <c r="AR185" s="482"/>
      <c r="AS185" s="482"/>
      <c r="AT185" s="482"/>
      <c r="AU185" s="482"/>
      <c r="AV185" s="482"/>
      <c r="AW185" s="482"/>
      <c r="AX185" s="482"/>
      <c r="AY185" s="481"/>
      <c r="AZ185" s="482"/>
      <c r="BA185" s="482"/>
      <c r="BB185" s="482"/>
      <c r="BC185" s="482"/>
      <c r="BD185" s="482"/>
      <c r="BE185" s="482"/>
      <c r="BF185" s="482"/>
      <c r="BG185" s="482"/>
      <c r="BH185" s="481"/>
      <c r="BI185" s="482"/>
      <c r="BJ185" s="482"/>
      <c r="BK185" s="482"/>
      <c r="BL185" s="481"/>
      <c r="BM185" s="481"/>
      <c r="BN185" s="481"/>
      <c r="BO185" s="482"/>
      <c r="BP185" s="482"/>
    </row>
    <row r="186" spans="2:68" ht="14.25" hidden="1" customHeight="1">
      <c r="B186" s="481"/>
      <c r="C186" s="482"/>
      <c r="D186" s="482"/>
      <c r="E186" s="482"/>
      <c r="F186" s="482"/>
      <c r="G186" s="482"/>
      <c r="H186" s="482"/>
      <c r="I186" s="483"/>
      <c r="J186" s="483"/>
      <c r="K186" s="483"/>
      <c r="L186" s="482"/>
      <c r="M186" s="482"/>
      <c r="N186" s="482"/>
      <c r="O186" s="482"/>
      <c r="P186" s="482"/>
      <c r="Q186" s="482"/>
      <c r="R186" s="482"/>
      <c r="S186" s="482"/>
      <c r="T186" s="482"/>
      <c r="U186" s="482"/>
      <c r="V186" s="482"/>
      <c r="W186" s="482"/>
      <c r="X186" s="482"/>
      <c r="Y186" s="482"/>
      <c r="Z186" s="482"/>
      <c r="AA186" s="481"/>
      <c r="AB186" s="481"/>
      <c r="AC186" s="482"/>
      <c r="AD186" s="482"/>
      <c r="AE186" s="482"/>
      <c r="AF186" s="481"/>
      <c r="AG186" s="482"/>
      <c r="AH186" s="482"/>
      <c r="AI186" s="482"/>
      <c r="AJ186" s="481"/>
      <c r="AK186" s="481"/>
      <c r="AL186" s="481"/>
      <c r="AM186" s="482"/>
      <c r="AN186" s="487"/>
      <c r="AO186" s="490"/>
      <c r="AP186" s="485"/>
      <c r="AQ186" s="482"/>
      <c r="AR186" s="482"/>
      <c r="AS186" s="482"/>
      <c r="AT186" s="482"/>
      <c r="AU186" s="482"/>
      <c r="AV186" s="482"/>
      <c r="AW186" s="482"/>
      <c r="AX186" s="482"/>
      <c r="AY186" s="481"/>
      <c r="AZ186" s="482"/>
      <c r="BA186" s="482"/>
      <c r="BB186" s="482"/>
      <c r="BC186" s="482"/>
      <c r="BD186" s="482"/>
      <c r="BE186" s="482"/>
      <c r="BF186" s="482"/>
      <c r="BG186" s="482"/>
      <c r="BH186" s="481"/>
      <c r="BI186" s="482"/>
      <c r="BJ186" s="482"/>
      <c r="BK186" s="482"/>
      <c r="BL186" s="481"/>
      <c r="BM186" s="481"/>
      <c r="BN186" s="481"/>
      <c r="BO186" s="482"/>
      <c r="BP186" s="482"/>
    </row>
    <row r="187" spans="2:68" ht="14.25" hidden="1" customHeight="1">
      <c r="B187" s="481"/>
      <c r="C187" s="482"/>
      <c r="D187" s="482"/>
      <c r="E187" s="482"/>
      <c r="F187" s="482"/>
      <c r="G187" s="482"/>
      <c r="H187" s="482"/>
      <c r="I187" s="483"/>
      <c r="J187" s="483"/>
      <c r="K187" s="483"/>
      <c r="L187" s="482"/>
      <c r="M187" s="482"/>
      <c r="N187" s="482"/>
      <c r="O187" s="482"/>
      <c r="P187" s="482"/>
      <c r="Q187" s="482"/>
      <c r="R187" s="482"/>
      <c r="S187" s="482"/>
      <c r="T187" s="482"/>
      <c r="U187" s="482"/>
      <c r="V187" s="482"/>
      <c r="W187" s="482"/>
      <c r="X187" s="482"/>
      <c r="Y187" s="482"/>
      <c r="Z187" s="482"/>
      <c r="AA187" s="481"/>
      <c r="AB187" s="481"/>
      <c r="AC187" s="482"/>
      <c r="AD187" s="482"/>
      <c r="AE187" s="482"/>
      <c r="AF187" s="481"/>
      <c r="AG187" s="482"/>
      <c r="AH187" s="482"/>
      <c r="AI187" s="482"/>
      <c r="AJ187" s="481"/>
      <c r="AK187" s="481"/>
      <c r="AL187" s="481"/>
      <c r="AM187" s="482"/>
      <c r="AN187" s="487"/>
      <c r="AO187" s="490"/>
      <c r="AP187" s="485"/>
      <c r="AQ187" s="482"/>
      <c r="AR187" s="482"/>
      <c r="AS187" s="482"/>
      <c r="AT187" s="482"/>
      <c r="AU187" s="482"/>
      <c r="AV187" s="482"/>
      <c r="AW187" s="482"/>
      <c r="AX187" s="482"/>
      <c r="AY187" s="481"/>
      <c r="AZ187" s="482"/>
      <c r="BA187" s="482"/>
      <c r="BB187" s="482"/>
      <c r="BC187" s="482"/>
      <c r="BD187" s="482"/>
      <c r="BE187" s="482"/>
      <c r="BF187" s="482"/>
      <c r="BG187" s="482"/>
      <c r="BH187" s="481"/>
      <c r="BI187" s="482"/>
      <c r="BJ187" s="482"/>
      <c r="BK187" s="482"/>
      <c r="BL187" s="481"/>
      <c r="BM187" s="481"/>
      <c r="BN187" s="481"/>
      <c r="BO187" s="482"/>
      <c r="BP187" s="482"/>
    </row>
    <row r="188" spans="2:68" ht="14.25" hidden="1" customHeight="1">
      <c r="B188" s="481"/>
      <c r="C188" s="482"/>
      <c r="D188" s="482"/>
      <c r="E188" s="482"/>
      <c r="F188" s="482"/>
      <c r="G188" s="482"/>
      <c r="H188" s="482"/>
      <c r="I188" s="483"/>
      <c r="J188" s="483"/>
      <c r="K188" s="483"/>
      <c r="L188" s="482"/>
      <c r="M188" s="482"/>
      <c r="N188" s="482"/>
      <c r="O188" s="482"/>
      <c r="P188" s="482"/>
      <c r="Q188" s="482"/>
      <c r="R188" s="482"/>
      <c r="S188" s="482"/>
      <c r="T188" s="482"/>
      <c r="U188" s="482"/>
      <c r="V188" s="482"/>
      <c r="W188" s="482"/>
      <c r="X188" s="482"/>
      <c r="Y188" s="482"/>
      <c r="Z188" s="482"/>
      <c r="AA188" s="481"/>
      <c r="AB188" s="481"/>
      <c r="AC188" s="482"/>
      <c r="AD188" s="482"/>
      <c r="AE188" s="482"/>
      <c r="AF188" s="481"/>
      <c r="AG188" s="482"/>
      <c r="AH188" s="482"/>
      <c r="AI188" s="482"/>
      <c r="AJ188" s="481"/>
      <c r="AK188" s="481"/>
      <c r="AL188" s="481"/>
      <c r="AM188" s="482"/>
      <c r="AN188" s="487"/>
      <c r="AO188" s="490"/>
      <c r="AP188" s="485"/>
      <c r="AQ188" s="482"/>
      <c r="AR188" s="482"/>
      <c r="AS188" s="482"/>
      <c r="AT188" s="482"/>
      <c r="AU188" s="482"/>
      <c r="AV188" s="482"/>
      <c r="AW188" s="482"/>
      <c r="AX188" s="482"/>
      <c r="AY188" s="481"/>
      <c r="AZ188" s="482"/>
      <c r="BA188" s="482"/>
      <c r="BB188" s="482"/>
      <c r="BC188" s="482"/>
      <c r="BD188" s="482"/>
      <c r="BE188" s="482"/>
      <c r="BF188" s="482"/>
      <c r="BG188" s="482"/>
      <c r="BH188" s="481"/>
      <c r="BI188" s="482"/>
      <c r="BJ188" s="482"/>
      <c r="BK188" s="482"/>
      <c r="BL188" s="481"/>
      <c r="BM188" s="481"/>
      <c r="BN188" s="481"/>
      <c r="BO188" s="482"/>
      <c r="BP188" s="482"/>
    </row>
    <row r="189" spans="2:68" ht="14.25" hidden="1" customHeight="1">
      <c r="B189" s="481"/>
      <c r="C189" s="482"/>
      <c r="D189" s="482"/>
      <c r="E189" s="482"/>
      <c r="F189" s="482"/>
      <c r="G189" s="482"/>
      <c r="H189" s="482"/>
      <c r="I189" s="483"/>
      <c r="J189" s="483"/>
      <c r="K189" s="483"/>
      <c r="L189" s="482"/>
      <c r="M189" s="482"/>
      <c r="N189" s="482"/>
      <c r="O189" s="482"/>
      <c r="P189" s="482"/>
      <c r="Q189" s="482"/>
      <c r="R189" s="482"/>
      <c r="S189" s="482"/>
      <c r="T189" s="482"/>
      <c r="U189" s="482"/>
      <c r="V189" s="482"/>
      <c r="W189" s="482"/>
      <c r="X189" s="482"/>
      <c r="Y189" s="482"/>
      <c r="Z189" s="482"/>
      <c r="AA189" s="481"/>
      <c r="AB189" s="481"/>
      <c r="AC189" s="482"/>
      <c r="AD189" s="482"/>
      <c r="AE189" s="482"/>
      <c r="AF189" s="481"/>
      <c r="AG189" s="482"/>
      <c r="AH189" s="482"/>
      <c r="AI189" s="482"/>
      <c r="AJ189" s="481"/>
      <c r="AK189" s="481"/>
      <c r="AL189" s="481"/>
      <c r="AM189" s="482"/>
      <c r="AN189" s="487"/>
      <c r="AO189" s="490"/>
      <c r="AP189" s="485"/>
      <c r="AQ189" s="482"/>
      <c r="AR189" s="482"/>
      <c r="AS189" s="482"/>
      <c r="AT189" s="482"/>
      <c r="AU189" s="482"/>
      <c r="AV189" s="482"/>
      <c r="AW189" s="482"/>
      <c r="AX189" s="482"/>
      <c r="AY189" s="481"/>
      <c r="AZ189" s="482"/>
      <c r="BA189" s="482"/>
      <c r="BB189" s="482"/>
      <c r="BC189" s="482"/>
      <c r="BD189" s="482"/>
      <c r="BE189" s="482"/>
      <c r="BF189" s="482"/>
      <c r="BG189" s="482"/>
      <c r="BH189" s="481"/>
      <c r="BI189" s="482"/>
      <c r="BJ189" s="482"/>
      <c r="BK189" s="482"/>
      <c r="BL189" s="481"/>
      <c r="BM189" s="481"/>
      <c r="BN189" s="481"/>
      <c r="BO189" s="482"/>
      <c r="BP189" s="482"/>
    </row>
    <row r="190" spans="2:68" ht="14.25" hidden="1" customHeight="1">
      <c r="B190" s="481"/>
      <c r="C190" s="482"/>
      <c r="D190" s="482"/>
      <c r="E190" s="482"/>
      <c r="F190" s="482"/>
      <c r="G190" s="482"/>
      <c r="H190" s="482"/>
      <c r="I190" s="483"/>
      <c r="J190" s="483"/>
      <c r="K190" s="483"/>
      <c r="L190" s="482"/>
      <c r="M190" s="482"/>
      <c r="N190" s="482"/>
      <c r="O190" s="482"/>
      <c r="P190" s="482"/>
      <c r="Q190" s="482"/>
      <c r="R190" s="482"/>
      <c r="S190" s="482"/>
      <c r="T190" s="482"/>
      <c r="U190" s="482"/>
      <c r="V190" s="482"/>
      <c r="W190" s="482"/>
      <c r="X190" s="482"/>
      <c r="Y190" s="482"/>
      <c r="Z190" s="482"/>
      <c r="AA190" s="481"/>
      <c r="AB190" s="481"/>
      <c r="AC190" s="482"/>
      <c r="AD190" s="482"/>
      <c r="AE190" s="482"/>
      <c r="AF190" s="481"/>
      <c r="AG190" s="482"/>
      <c r="AH190" s="482"/>
      <c r="AI190" s="482"/>
      <c r="AJ190" s="481"/>
      <c r="AK190" s="481"/>
      <c r="AL190" s="481"/>
      <c r="AM190" s="482"/>
      <c r="AN190" s="487"/>
      <c r="AO190" s="490"/>
      <c r="AP190" s="485"/>
      <c r="AQ190" s="482"/>
      <c r="AR190" s="482"/>
      <c r="AS190" s="482"/>
      <c r="AT190" s="482"/>
      <c r="AU190" s="482"/>
      <c r="AV190" s="482"/>
      <c r="AW190" s="482"/>
      <c r="AX190" s="482"/>
      <c r="AY190" s="481"/>
      <c r="AZ190" s="482"/>
      <c r="BA190" s="482"/>
      <c r="BB190" s="482"/>
      <c r="BC190" s="482"/>
      <c r="BD190" s="482"/>
      <c r="BE190" s="482"/>
      <c r="BF190" s="482"/>
      <c r="BG190" s="482"/>
      <c r="BH190" s="481"/>
      <c r="BI190" s="482"/>
      <c r="BJ190" s="482"/>
      <c r="BK190" s="482"/>
      <c r="BL190" s="481"/>
      <c r="BM190" s="481"/>
      <c r="BN190" s="481"/>
      <c r="BO190" s="482"/>
      <c r="BP190" s="482"/>
    </row>
    <row r="191" spans="2:68" ht="14.25" hidden="1" customHeight="1">
      <c r="B191" s="481"/>
      <c r="C191" s="482"/>
      <c r="D191" s="482"/>
      <c r="E191" s="482"/>
      <c r="F191" s="482"/>
      <c r="G191" s="482"/>
      <c r="H191" s="482"/>
      <c r="I191" s="483"/>
      <c r="J191" s="483"/>
      <c r="K191" s="483"/>
      <c r="L191" s="482"/>
      <c r="M191" s="482"/>
      <c r="N191" s="482"/>
      <c r="O191" s="482"/>
      <c r="P191" s="482"/>
      <c r="Q191" s="482"/>
      <c r="R191" s="482"/>
      <c r="S191" s="482"/>
      <c r="T191" s="482"/>
      <c r="U191" s="482"/>
      <c r="V191" s="482"/>
      <c r="W191" s="482"/>
      <c r="X191" s="482"/>
      <c r="Y191" s="482"/>
      <c r="Z191" s="482"/>
      <c r="AA191" s="481"/>
      <c r="AB191" s="481"/>
      <c r="AC191" s="482"/>
      <c r="AD191" s="482"/>
      <c r="AE191" s="482"/>
      <c r="AF191" s="481"/>
      <c r="AG191" s="482"/>
      <c r="AH191" s="482"/>
      <c r="AI191" s="482"/>
      <c r="AJ191" s="481"/>
      <c r="AK191" s="481"/>
      <c r="AL191" s="481"/>
      <c r="AM191" s="482"/>
      <c r="AN191" s="487"/>
      <c r="AO191" s="490"/>
      <c r="AP191" s="485"/>
      <c r="AQ191" s="482"/>
      <c r="AR191" s="482"/>
      <c r="AS191" s="482"/>
      <c r="AT191" s="482"/>
      <c r="AU191" s="482"/>
      <c r="AV191" s="482"/>
      <c r="AW191" s="482"/>
      <c r="AX191" s="482"/>
      <c r="AY191" s="481"/>
      <c r="AZ191" s="482"/>
      <c r="BA191" s="482"/>
      <c r="BB191" s="482"/>
      <c r="BC191" s="482"/>
      <c r="BD191" s="482"/>
      <c r="BE191" s="482"/>
      <c r="BF191" s="482"/>
      <c r="BG191" s="482"/>
      <c r="BH191" s="481"/>
      <c r="BI191" s="482"/>
      <c r="BJ191" s="482"/>
      <c r="BK191" s="482"/>
      <c r="BL191" s="481"/>
      <c r="BM191" s="481"/>
      <c r="BN191" s="481"/>
      <c r="BO191" s="482"/>
      <c r="BP191" s="482"/>
    </row>
    <row r="192" spans="2:68" ht="14.25" hidden="1" customHeight="1">
      <c r="B192" s="481"/>
      <c r="C192" s="482"/>
      <c r="D192" s="482"/>
      <c r="E192" s="482"/>
      <c r="F192" s="482"/>
      <c r="G192" s="482"/>
      <c r="H192" s="482"/>
      <c r="I192" s="483"/>
      <c r="J192" s="483"/>
      <c r="K192" s="483"/>
      <c r="L192" s="482"/>
      <c r="M192" s="482"/>
      <c r="N192" s="482"/>
      <c r="O192" s="482"/>
      <c r="P192" s="482"/>
      <c r="Q192" s="482"/>
      <c r="R192" s="482"/>
      <c r="S192" s="482"/>
      <c r="T192" s="482"/>
      <c r="U192" s="482"/>
      <c r="V192" s="482"/>
      <c r="W192" s="482"/>
      <c r="X192" s="482"/>
      <c r="Y192" s="482"/>
      <c r="Z192" s="482"/>
      <c r="AA192" s="481"/>
      <c r="AB192" s="481"/>
      <c r="AC192" s="482"/>
      <c r="AD192" s="482"/>
      <c r="AE192" s="482"/>
      <c r="AF192" s="481"/>
      <c r="AG192" s="482"/>
      <c r="AH192" s="482"/>
      <c r="AI192" s="482"/>
      <c r="AJ192" s="481"/>
      <c r="AK192" s="481"/>
      <c r="AL192" s="481"/>
      <c r="AM192" s="482"/>
      <c r="AN192" s="487"/>
      <c r="AO192" s="490"/>
      <c r="AP192" s="485"/>
      <c r="AQ192" s="482"/>
      <c r="AR192" s="482"/>
      <c r="AS192" s="482"/>
      <c r="AT192" s="482"/>
      <c r="AU192" s="482"/>
      <c r="AV192" s="482"/>
      <c r="AW192" s="482"/>
      <c r="AX192" s="482"/>
      <c r="AY192" s="481"/>
      <c r="AZ192" s="482"/>
      <c r="BA192" s="482"/>
      <c r="BB192" s="482"/>
      <c r="BC192" s="482"/>
      <c r="BD192" s="482"/>
      <c r="BE192" s="482"/>
      <c r="BF192" s="482"/>
      <c r="BG192" s="482"/>
      <c r="BH192" s="481"/>
      <c r="BI192" s="482"/>
      <c r="BJ192" s="482"/>
      <c r="BK192" s="482"/>
      <c r="BL192" s="481"/>
      <c r="BM192" s="481"/>
      <c r="BN192" s="481"/>
      <c r="BO192" s="482"/>
      <c r="BP192" s="482"/>
    </row>
    <row r="193" spans="2:68" ht="14.25" hidden="1" customHeight="1">
      <c r="B193" s="481"/>
      <c r="C193" s="482"/>
      <c r="D193" s="482"/>
      <c r="E193" s="482"/>
      <c r="F193" s="482"/>
      <c r="G193" s="482"/>
      <c r="H193" s="482"/>
      <c r="I193" s="483"/>
      <c r="J193" s="483"/>
      <c r="K193" s="483"/>
      <c r="L193" s="482"/>
      <c r="M193" s="482"/>
      <c r="N193" s="482"/>
      <c r="O193" s="482"/>
      <c r="P193" s="482"/>
      <c r="Q193" s="482"/>
      <c r="R193" s="482"/>
      <c r="S193" s="482"/>
      <c r="T193" s="482"/>
      <c r="U193" s="482"/>
      <c r="V193" s="482"/>
      <c r="W193" s="482"/>
      <c r="X193" s="482"/>
      <c r="Y193" s="482"/>
      <c r="Z193" s="482"/>
      <c r="AA193" s="481"/>
      <c r="AB193" s="481"/>
      <c r="AC193" s="482"/>
      <c r="AD193" s="482"/>
      <c r="AE193" s="482"/>
      <c r="AF193" s="481"/>
      <c r="AG193" s="482"/>
      <c r="AH193" s="482"/>
      <c r="AI193" s="482"/>
      <c r="AJ193" s="481"/>
      <c r="AK193" s="481"/>
      <c r="AL193" s="481"/>
      <c r="AM193" s="482"/>
      <c r="AN193" s="487"/>
      <c r="AO193" s="490"/>
      <c r="AP193" s="485"/>
      <c r="AQ193" s="482"/>
      <c r="AR193" s="482"/>
      <c r="AS193" s="482"/>
      <c r="AT193" s="482"/>
      <c r="AU193" s="482"/>
      <c r="AV193" s="482"/>
      <c r="AW193" s="482"/>
      <c r="AX193" s="482"/>
      <c r="AY193" s="481"/>
      <c r="AZ193" s="482"/>
      <c r="BA193" s="482"/>
      <c r="BB193" s="482"/>
      <c r="BC193" s="482"/>
      <c r="BD193" s="482"/>
      <c r="BE193" s="482"/>
      <c r="BF193" s="482"/>
      <c r="BG193" s="482"/>
      <c r="BH193" s="481"/>
      <c r="BI193" s="482"/>
      <c r="BJ193" s="482"/>
      <c r="BK193" s="482"/>
      <c r="BL193" s="481"/>
      <c r="BM193" s="481"/>
      <c r="BN193" s="481"/>
      <c r="BO193" s="482"/>
      <c r="BP193" s="482"/>
    </row>
    <row r="194" spans="2:68" ht="14.25" hidden="1" customHeight="1">
      <c r="B194" s="481"/>
      <c r="C194" s="482"/>
      <c r="D194" s="482"/>
      <c r="E194" s="482"/>
      <c r="F194" s="482"/>
      <c r="G194" s="482"/>
      <c r="H194" s="482"/>
      <c r="I194" s="483"/>
      <c r="J194" s="483"/>
      <c r="K194" s="483"/>
      <c r="L194" s="482"/>
      <c r="M194" s="482"/>
      <c r="N194" s="482"/>
      <c r="O194" s="482"/>
      <c r="P194" s="482"/>
      <c r="Q194" s="482"/>
      <c r="R194" s="482"/>
      <c r="S194" s="482"/>
      <c r="T194" s="482"/>
      <c r="U194" s="482"/>
      <c r="V194" s="482"/>
      <c r="W194" s="482"/>
      <c r="X194" s="482"/>
      <c r="Y194" s="482"/>
      <c r="Z194" s="482"/>
      <c r="AA194" s="481"/>
      <c r="AB194" s="481"/>
      <c r="AC194" s="482"/>
      <c r="AD194" s="482"/>
      <c r="AE194" s="482"/>
      <c r="AF194" s="481"/>
      <c r="AG194" s="482"/>
      <c r="AH194" s="482"/>
      <c r="AI194" s="482"/>
      <c r="AJ194" s="481"/>
      <c r="AK194" s="481"/>
      <c r="AL194" s="481"/>
      <c r="AM194" s="482"/>
      <c r="AN194" s="487"/>
      <c r="AO194" s="490"/>
      <c r="AP194" s="485"/>
      <c r="AQ194" s="482"/>
      <c r="AR194" s="482"/>
      <c r="AS194" s="482"/>
      <c r="AT194" s="482"/>
      <c r="AU194" s="482"/>
      <c r="AV194" s="482"/>
      <c r="AW194" s="482"/>
      <c r="AX194" s="482"/>
      <c r="AY194" s="481"/>
      <c r="AZ194" s="482"/>
      <c r="BA194" s="482"/>
      <c r="BB194" s="482"/>
      <c r="BC194" s="482"/>
      <c r="BD194" s="482"/>
      <c r="BE194" s="482"/>
      <c r="BF194" s="482"/>
      <c r="BG194" s="482"/>
      <c r="BH194" s="481"/>
      <c r="BI194" s="482"/>
      <c r="BJ194" s="482"/>
      <c r="BK194" s="482"/>
      <c r="BL194" s="481"/>
      <c r="BM194" s="481"/>
      <c r="BN194" s="481"/>
      <c r="BO194" s="482"/>
      <c r="BP194" s="482"/>
    </row>
    <row r="195" spans="2:68" ht="14.25" hidden="1" customHeight="1">
      <c r="B195" s="481"/>
      <c r="C195" s="482"/>
      <c r="D195" s="482"/>
      <c r="E195" s="482"/>
      <c r="F195" s="482"/>
      <c r="G195" s="482"/>
      <c r="H195" s="482"/>
      <c r="I195" s="483"/>
      <c r="J195" s="483"/>
      <c r="K195" s="483"/>
      <c r="L195" s="482"/>
      <c r="M195" s="482"/>
      <c r="N195" s="482"/>
      <c r="O195" s="482"/>
      <c r="P195" s="482"/>
      <c r="Q195" s="482"/>
      <c r="R195" s="482"/>
      <c r="S195" s="482"/>
      <c r="T195" s="482"/>
      <c r="U195" s="482"/>
      <c r="V195" s="482"/>
      <c r="W195" s="482"/>
      <c r="X195" s="482"/>
      <c r="Y195" s="482"/>
      <c r="Z195" s="482"/>
      <c r="AA195" s="481"/>
      <c r="AB195" s="481"/>
      <c r="AC195" s="482"/>
      <c r="AD195" s="482"/>
      <c r="AE195" s="482"/>
      <c r="AF195" s="481"/>
      <c r="AG195" s="482"/>
      <c r="AH195" s="482"/>
      <c r="AI195" s="482"/>
      <c r="AJ195" s="481"/>
      <c r="AK195" s="481"/>
      <c r="AL195" s="481"/>
      <c r="AM195" s="482"/>
      <c r="AN195" s="487"/>
      <c r="AO195" s="490"/>
      <c r="AP195" s="485"/>
      <c r="AQ195" s="482"/>
      <c r="AR195" s="482"/>
      <c r="AS195" s="482"/>
      <c r="AT195" s="482"/>
      <c r="AU195" s="482"/>
      <c r="AV195" s="482"/>
      <c r="AW195" s="482"/>
      <c r="AX195" s="482"/>
      <c r="AY195" s="481"/>
      <c r="AZ195" s="482"/>
      <c r="BA195" s="482"/>
      <c r="BB195" s="482"/>
      <c r="BC195" s="482"/>
      <c r="BD195" s="482"/>
      <c r="BE195" s="482"/>
      <c r="BF195" s="482"/>
      <c r="BG195" s="482"/>
      <c r="BH195" s="481"/>
      <c r="BI195" s="482"/>
      <c r="BJ195" s="482"/>
      <c r="BK195" s="482"/>
      <c r="BL195" s="481"/>
      <c r="BM195" s="481"/>
      <c r="BN195" s="481"/>
      <c r="BO195" s="482"/>
      <c r="BP195" s="482"/>
    </row>
    <row r="196" spans="2:68" ht="14.25" hidden="1" customHeight="1">
      <c r="B196" s="481"/>
      <c r="C196" s="482"/>
      <c r="D196" s="482"/>
      <c r="E196" s="482"/>
      <c r="F196" s="482"/>
      <c r="G196" s="482"/>
      <c r="H196" s="482"/>
      <c r="I196" s="483"/>
      <c r="J196" s="483"/>
      <c r="K196" s="483"/>
      <c r="L196" s="482"/>
      <c r="M196" s="482"/>
      <c r="N196" s="482"/>
      <c r="O196" s="482"/>
      <c r="P196" s="482"/>
      <c r="Q196" s="482"/>
      <c r="R196" s="482"/>
      <c r="S196" s="482"/>
      <c r="T196" s="482"/>
      <c r="U196" s="482"/>
      <c r="V196" s="482"/>
      <c r="W196" s="482"/>
      <c r="X196" s="482"/>
      <c r="Y196" s="482"/>
      <c r="Z196" s="482"/>
      <c r="AA196" s="481"/>
      <c r="AB196" s="481"/>
      <c r="AC196" s="482"/>
      <c r="AD196" s="482"/>
      <c r="AE196" s="482"/>
      <c r="AF196" s="481"/>
      <c r="AG196" s="482"/>
      <c r="AH196" s="482"/>
      <c r="AI196" s="482"/>
      <c r="AJ196" s="481"/>
      <c r="AK196" s="481"/>
      <c r="AL196" s="481"/>
      <c r="AM196" s="482"/>
      <c r="AN196" s="487"/>
      <c r="AO196" s="490"/>
      <c r="AP196" s="485"/>
      <c r="AQ196" s="482"/>
      <c r="AR196" s="482"/>
      <c r="AS196" s="482"/>
      <c r="AT196" s="482"/>
      <c r="AU196" s="482"/>
      <c r="AV196" s="482"/>
      <c r="AW196" s="482"/>
      <c r="AX196" s="482"/>
      <c r="AY196" s="481"/>
      <c r="AZ196" s="482"/>
      <c r="BA196" s="482"/>
      <c r="BB196" s="482"/>
      <c r="BC196" s="482"/>
      <c r="BD196" s="482"/>
      <c r="BE196" s="482"/>
      <c r="BF196" s="482"/>
      <c r="BG196" s="482"/>
      <c r="BH196" s="481"/>
      <c r="BI196" s="482"/>
      <c r="BJ196" s="482"/>
      <c r="BK196" s="482"/>
      <c r="BL196" s="481"/>
      <c r="BM196" s="481"/>
      <c r="BN196" s="481"/>
      <c r="BO196" s="482"/>
      <c r="BP196" s="482"/>
    </row>
    <row r="197" spans="2:68" ht="14.25" hidden="1" customHeight="1">
      <c r="B197" s="481"/>
      <c r="C197" s="482"/>
      <c r="D197" s="482"/>
      <c r="E197" s="482"/>
      <c r="F197" s="482"/>
      <c r="G197" s="482"/>
      <c r="H197" s="482"/>
      <c r="I197" s="483"/>
      <c r="J197" s="483"/>
      <c r="K197" s="483"/>
      <c r="L197" s="482"/>
      <c r="M197" s="482"/>
      <c r="N197" s="482"/>
      <c r="O197" s="482"/>
      <c r="P197" s="482"/>
      <c r="Q197" s="482"/>
      <c r="R197" s="482"/>
      <c r="S197" s="482"/>
      <c r="T197" s="482"/>
      <c r="U197" s="482"/>
      <c r="V197" s="482"/>
      <c r="W197" s="482"/>
      <c r="X197" s="482"/>
      <c r="Y197" s="482"/>
      <c r="Z197" s="482"/>
      <c r="AA197" s="481"/>
      <c r="AB197" s="481"/>
      <c r="AC197" s="482"/>
      <c r="AD197" s="482"/>
      <c r="AE197" s="482"/>
      <c r="AF197" s="481"/>
      <c r="AG197" s="482"/>
      <c r="AH197" s="482"/>
      <c r="AI197" s="482"/>
      <c r="AJ197" s="481"/>
      <c r="AK197" s="481"/>
      <c r="AL197" s="481"/>
      <c r="AM197" s="482"/>
      <c r="AN197" s="487"/>
      <c r="AO197" s="490"/>
      <c r="AP197" s="485"/>
      <c r="AQ197" s="482"/>
      <c r="AR197" s="482"/>
      <c r="AS197" s="482"/>
      <c r="AT197" s="482"/>
      <c r="AU197" s="482"/>
      <c r="AV197" s="482"/>
      <c r="AW197" s="482"/>
      <c r="AX197" s="482"/>
      <c r="AY197" s="481"/>
      <c r="AZ197" s="482"/>
      <c r="BA197" s="482"/>
      <c r="BB197" s="482"/>
      <c r="BC197" s="482"/>
      <c r="BD197" s="482"/>
      <c r="BE197" s="482"/>
      <c r="BF197" s="482"/>
      <c r="BG197" s="482"/>
      <c r="BH197" s="481"/>
      <c r="BI197" s="482"/>
      <c r="BJ197" s="482"/>
      <c r="BK197" s="482"/>
      <c r="BL197" s="481"/>
      <c r="BM197" s="481"/>
      <c r="BN197" s="481"/>
      <c r="BO197" s="482"/>
      <c r="BP197" s="482"/>
    </row>
    <row r="198" spans="2:68" ht="14.25" hidden="1" customHeight="1">
      <c r="B198" s="481"/>
      <c r="C198" s="482"/>
      <c r="D198" s="482"/>
      <c r="E198" s="482"/>
      <c r="F198" s="482"/>
      <c r="G198" s="482"/>
      <c r="H198" s="482"/>
      <c r="I198" s="483"/>
      <c r="J198" s="483"/>
      <c r="K198" s="483"/>
      <c r="L198" s="482"/>
      <c r="M198" s="482"/>
      <c r="N198" s="482"/>
      <c r="O198" s="482"/>
      <c r="P198" s="482"/>
      <c r="Q198" s="482"/>
      <c r="R198" s="482"/>
      <c r="S198" s="482"/>
      <c r="T198" s="482"/>
      <c r="U198" s="482"/>
      <c r="V198" s="482"/>
      <c r="W198" s="482"/>
      <c r="X198" s="482"/>
      <c r="Y198" s="482"/>
      <c r="Z198" s="482"/>
      <c r="AA198" s="481"/>
      <c r="AB198" s="481"/>
      <c r="AC198" s="482"/>
      <c r="AD198" s="482"/>
      <c r="AE198" s="482"/>
      <c r="AF198" s="481"/>
      <c r="AG198" s="482"/>
      <c r="AH198" s="482"/>
      <c r="AI198" s="482"/>
      <c r="AJ198" s="481"/>
      <c r="AK198" s="481"/>
      <c r="AL198" s="481"/>
      <c r="AM198" s="482"/>
      <c r="AN198" s="487"/>
      <c r="AO198" s="490"/>
      <c r="AP198" s="485"/>
      <c r="AQ198" s="482"/>
      <c r="AR198" s="482"/>
      <c r="AS198" s="482"/>
      <c r="AT198" s="482"/>
      <c r="AU198" s="482"/>
      <c r="AV198" s="482"/>
      <c r="AW198" s="482"/>
      <c r="AX198" s="482"/>
      <c r="AY198" s="481"/>
      <c r="AZ198" s="482"/>
      <c r="BA198" s="482"/>
      <c r="BB198" s="482"/>
      <c r="BC198" s="482"/>
      <c r="BD198" s="482"/>
      <c r="BE198" s="482"/>
      <c r="BF198" s="482"/>
      <c r="BG198" s="482"/>
      <c r="BH198" s="481"/>
      <c r="BI198" s="482"/>
      <c r="BJ198" s="482"/>
      <c r="BK198" s="482"/>
      <c r="BL198" s="481"/>
      <c r="BM198" s="481"/>
      <c r="BN198" s="481"/>
      <c r="BO198" s="482"/>
      <c r="BP198" s="482"/>
    </row>
    <row r="199" spans="2:68" ht="14.25" hidden="1" customHeight="1">
      <c r="B199" s="481"/>
      <c r="C199" s="482"/>
      <c r="D199" s="482"/>
      <c r="E199" s="482"/>
      <c r="F199" s="482"/>
      <c r="G199" s="482"/>
      <c r="H199" s="482"/>
      <c r="I199" s="483"/>
      <c r="J199" s="483"/>
      <c r="K199" s="483"/>
      <c r="L199" s="482"/>
      <c r="M199" s="482"/>
      <c r="N199" s="482"/>
      <c r="O199" s="482"/>
      <c r="P199" s="482"/>
      <c r="Q199" s="482"/>
      <c r="R199" s="482"/>
      <c r="S199" s="482"/>
      <c r="T199" s="482"/>
      <c r="U199" s="482"/>
      <c r="V199" s="482"/>
      <c r="W199" s="482"/>
      <c r="X199" s="482"/>
      <c r="Y199" s="482"/>
      <c r="Z199" s="482"/>
      <c r="AA199" s="481"/>
      <c r="AB199" s="481"/>
      <c r="AC199" s="482"/>
      <c r="AD199" s="482"/>
      <c r="AE199" s="482"/>
      <c r="AF199" s="481"/>
      <c r="AG199" s="482"/>
      <c r="AH199" s="482"/>
      <c r="AI199" s="482"/>
      <c r="AJ199" s="481"/>
      <c r="AK199" s="481"/>
      <c r="AL199" s="481"/>
      <c r="AM199" s="482"/>
      <c r="AN199" s="487"/>
      <c r="AO199" s="490"/>
      <c r="AP199" s="485"/>
      <c r="AQ199" s="482"/>
      <c r="AR199" s="482"/>
      <c r="AS199" s="482"/>
      <c r="AT199" s="482"/>
      <c r="AU199" s="482"/>
      <c r="AV199" s="482"/>
      <c r="AW199" s="482"/>
      <c r="AX199" s="482"/>
      <c r="AY199" s="481"/>
      <c r="AZ199" s="482"/>
      <c r="BA199" s="482"/>
      <c r="BB199" s="482"/>
      <c r="BC199" s="482"/>
      <c r="BD199" s="482"/>
      <c r="BE199" s="482"/>
      <c r="BF199" s="482"/>
      <c r="BG199" s="482"/>
      <c r="BH199" s="481"/>
      <c r="BI199" s="482"/>
      <c r="BJ199" s="482"/>
      <c r="BK199" s="482"/>
      <c r="BL199" s="481"/>
      <c r="BM199" s="481"/>
      <c r="BN199" s="481"/>
      <c r="BO199" s="482"/>
      <c r="BP199" s="482"/>
    </row>
    <row r="200" spans="2:68" ht="14.25" hidden="1" customHeight="1">
      <c r="B200" s="481"/>
      <c r="C200" s="482"/>
      <c r="D200" s="482"/>
      <c r="E200" s="482"/>
      <c r="F200" s="482"/>
      <c r="G200" s="482"/>
      <c r="H200" s="482"/>
      <c r="I200" s="483"/>
      <c r="J200" s="483"/>
      <c r="K200" s="483"/>
      <c r="L200" s="482"/>
      <c r="M200" s="482"/>
      <c r="N200" s="482"/>
      <c r="O200" s="482"/>
      <c r="P200" s="482"/>
      <c r="Q200" s="482"/>
      <c r="R200" s="482"/>
      <c r="S200" s="482"/>
      <c r="T200" s="482"/>
      <c r="U200" s="482"/>
      <c r="V200" s="482"/>
      <c r="W200" s="482"/>
      <c r="X200" s="482"/>
      <c r="Y200" s="482"/>
      <c r="Z200" s="482"/>
      <c r="AA200" s="481"/>
      <c r="AB200" s="481"/>
      <c r="AC200" s="482"/>
      <c r="AD200" s="482"/>
      <c r="AE200" s="482"/>
      <c r="AF200" s="481"/>
      <c r="AG200" s="482"/>
      <c r="AH200" s="482"/>
      <c r="AI200" s="482"/>
      <c r="AJ200" s="481"/>
      <c r="AK200" s="481"/>
      <c r="AL200" s="481"/>
      <c r="AM200" s="482"/>
      <c r="AN200" s="487"/>
      <c r="AO200" s="490"/>
      <c r="AP200" s="485"/>
      <c r="AQ200" s="482"/>
      <c r="AR200" s="482"/>
      <c r="AS200" s="482"/>
      <c r="AT200" s="482"/>
      <c r="AU200" s="482"/>
      <c r="AV200" s="482"/>
      <c r="AW200" s="482"/>
      <c r="AX200" s="482"/>
      <c r="AY200" s="481"/>
      <c r="AZ200" s="482"/>
      <c r="BA200" s="482"/>
      <c r="BB200" s="482"/>
      <c r="BC200" s="482"/>
      <c r="BD200" s="482"/>
      <c r="BE200" s="482"/>
      <c r="BF200" s="482"/>
      <c r="BG200" s="482"/>
      <c r="BH200" s="481"/>
      <c r="BI200" s="482"/>
      <c r="BJ200" s="482"/>
      <c r="BK200" s="482"/>
      <c r="BL200" s="481"/>
      <c r="BM200" s="481"/>
      <c r="BN200" s="481"/>
      <c r="BO200" s="482"/>
      <c r="BP200" s="482"/>
    </row>
    <row r="201" spans="2:68" ht="14.25" hidden="1" customHeight="1">
      <c r="B201" s="481"/>
      <c r="C201" s="482"/>
      <c r="D201" s="482"/>
      <c r="E201" s="482"/>
      <c r="F201" s="482"/>
      <c r="G201" s="482"/>
      <c r="H201" s="482"/>
      <c r="I201" s="483"/>
      <c r="J201" s="483"/>
      <c r="K201" s="483"/>
      <c r="L201" s="482"/>
      <c r="M201" s="482"/>
      <c r="N201" s="482"/>
      <c r="O201" s="482"/>
      <c r="P201" s="482"/>
      <c r="Q201" s="482"/>
      <c r="R201" s="482"/>
      <c r="S201" s="482"/>
      <c r="T201" s="482"/>
      <c r="U201" s="482"/>
      <c r="V201" s="482"/>
      <c r="W201" s="482"/>
      <c r="X201" s="482"/>
      <c r="Y201" s="482"/>
      <c r="Z201" s="482"/>
      <c r="AA201" s="481"/>
      <c r="AB201" s="481"/>
      <c r="AC201" s="482"/>
      <c r="AD201" s="482"/>
      <c r="AE201" s="482"/>
      <c r="AF201" s="481"/>
      <c r="AG201" s="482"/>
      <c r="AH201" s="482"/>
      <c r="AI201" s="482"/>
      <c r="AJ201" s="481"/>
      <c r="AK201" s="481"/>
      <c r="AL201" s="481"/>
      <c r="AM201" s="482"/>
      <c r="AN201" s="487"/>
      <c r="AO201" s="490"/>
      <c r="AP201" s="485"/>
      <c r="AQ201" s="482"/>
      <c r="AR201" s="482"/>
      <c r="AS201" s="482"/>
      <c r="AT201" s="482"/>
      <c r="AU201" s="482"/>
      <c r="AV201" s="482"/>
      <c r="AW201" s="482"/>
      <c r="AX201" s="482"/>
      <c r="AY201" s="481"/>
      <c r="AZ201" s="482"/>
      <c r="BA201" s="482"/>
      <c r="BB201" s="482"/>
      <c r="BC201" s="482"/>
      <c r="BD201" s="482"/>
      <c r="BE201" s="482"/>
      <c r="BF201" s="482"/>
      <c r="BG201" s="482"/>
      <c r="BH201" s="481"/>
      <c r="BI201" s="482"/>
      <c r="BJ201" s="482"/>
      <c r="BK201" s="482"/>
      <c r="BL201" s="481"/>
      <c r="BM201" s="481"/>
      <c r="BN201" s="481"/>
      <c r="BO201" s="482"/>
      <c r="BP201" s="482"/>
    </row>
    <row r="202" spans="2:68" ht="14.25" hidden="1" customHeight="1">
      <c r="B202" s="481"/>
      <c r="C202" s="482"/>
      <c r="D202" s="482"/>
      <c r="E202" s="482"/>
      <c r="F202" s="482"/>
      <c r="G202" s="482"/>
      <c r="H202" s="482"/>
      <c r="I202" s="483"/>
      <c r="J202" s="483"/>
      <c r="K202" s="483"/>
      <c r="L202" s="482"/>
      <c r="M202" s="482"/>
      <c r="N202" s="482"/>
      <c r="O202" s="482"/>
      <c r="P202" s="482"/>
      <c r="Q202" s="482"/>
      <c r="R202" s="482"/>
      <c r="S202" s="482"/>
      <c r="T202" s="482"/>
      <c r="U202" s="482"/>
      <c r="V202" s="482"/>
      <c r="W202" s="482"/>
      <c r="X202" s="482"/>
      <c r="Y202" s="482"/>
      <c r="Z202" s="482"/>
      <c r="AA202" s="481"/>
      <c r="AB202" s="481"/>
      <c r="AC202" s="482"/>
      <c r="AD202" s="482"/>
      <c r="AE202" s="482"/>
      <c r="AF202" s="481"/>
      <c r="AG202" s="482"/>
      <c r="AH202" s="482"/>
      <c r="AI202" s="482"/>
      <c r="AJ202" s="481"/>
      <c r="AK202" s="481"/>
      <c r="AL202" s="481"/>
      <c r="AM202" s="482"/>
      <c r="AN202" s="487"/>
      <c r="AO202" s="490"/>
      <c r="AP202" s="485"/>
      <c r="AQ202" s="482"/>
      <c r="AR202" s="482"/>
      <c r="AS202" s="482"/>
      <c r="AT202" s="482"/>
      <c r="AU202" s="482"/>
      <c r="AV202" s="482"/>
      <c r="AW202" s="482"/>
      <c r="AX202" s="482"/>
      <c r="AY202" s="481"/>
      <c r="AZ202" s="482"/>
      <c r="BA202" s="482"/>
      <c r="BB202" s="482"/>
      <c r="BC202" s="482"/>
      <c r="BD202" s="482"/>
      <c r="BE202" s="482"/>
      <c r="BF202" s="482"/>
      <c r="BG202" s="482"/>
      <c r="BH202" s="481"/>
      <c r="BI202" s="482"/>
      <c r="BJ202" s="482"/>
      <c r="BK202" s="482"/>
      <c r="BL202" s="481"/>
      <c r="BM202" s="481"/>
      <c r="BN202" s="481"/>
      <c r="BO202" s="482"/>
      <c r="BP202" s="482"/>
    </row>
    <row r="203" spans="2:68" ht="14.25" hidden="1" customHeight="1">
      <c r="B203" s="481"/>
      <c r="C203" s="482"/>
      <c r="D203" s="482"/>
      <c r="E203" s="482"/>
      <c r="F203" s="482"/>
      <c r="G203" s="482"/>
      <c r="H203" s="482"/>
      <c r="I203" s="483"/>
      <c r="J203" s="483"/>
      <c r="K203" s="483"/>
      <c r="L203" s="482"/>
      <c r="M203" s="482"/>
      <c r="N203" s="482"/>
      <c r="O203" s="482"/>
      <c r="P203" s="482"/>
      <c r="Q203" s="482"/>
      <c r="R203" s="482"/>
      <c r="S203" s="482"/>
      <c r="T203" s="482"/>
      <c r="U203" s="482"/>
      <c r="V203" s="482"/>
      <c r="W203" s="482"/>
      <c r="X203" s="482"/>
      <c r="Y203" s="482"/>
      <c r="Z203" s="482"/>
      <c r="AA203" s="481"/>
      <c r="AB203" s="481"/>
      <c r="AC203" s="482"/>
      <c r="AD203" s="482"/>
      <c r="AE203" s="482"/>
      <c r="AF203" s="481"/>
      <c r="AG203" s="482"/>
      <c r="AH203" s="482"/>
      <c r="AI203" s="482"/>
      <c r="AJ203" s="481"/>
      <c r="AK203" s="481"/>
      <c r="AL203" s="481"/>
      <c r="AM203" s="482"/>
      <c r="AN203" s="487"/>
      <c r="AO203" s="490"/>
      <c r="AP203" s="485"/>
      <c r="AQ203" s="482"/>
      <c r="AR203" s="482"/>
      <c r="AS203" s="482"/>
      <c r="AT203" s="482"/>
      <c r="AU203" s="482"/>
      <c r="AV203" s="482"/>
      <c r="AW203" s="482"/>
      <c r="AX203" s="482"/>
      <c r="AY203" s="481"/>
      <c r="AZ203" s="482"/>
      <c r="BA203" s="482"/>
      <c r="BB203" s="482"/>
      <c r="BC203" s="482"/>
      <c r="BD203" s="482"/>
      <c r="BE203" s="482"/>
      <c r="BF203" s="482"/>
      <c r="BG203" s="482"/>
      <c r="BH203" s="481"/>
      <c r="BI203" s="482"/>
      <c r="BJ203" s="482"/>
      <c r="BK203" s="482"/>
      <c r="BL203" s="481"/>
      <c r="BM203" s="481"/>
      <c r="BN203" s="481"/>
      <c r="BO203" s="482"/>
      <c r="BP203" s="482"/>
    </row>
    <row r="204" spans="2:68" ht="14.25" hidden="1" customHeight="1">
      <c r="B204" s="481"/>
      <c r="C204" s="482"/>
      <c r="D204" s="482"/>
      <c r="E204" s="482"/>
      <c r="F204" s="482"/>
      <c r="G204" s="482"/>
      <c r="H204" s="482"/>
      <c r="I204" s="483"/>
      <c r="J204" s="483"/>
      <c r="K204" s="483"/>
      <c r="L204" s="482"/>
      <c r="M204" s="482"/>
      <c r="N204" s="482"/>
      <c r="O204" s="482"/>
      <c r="P204" s="482"/>
      <c r="Q204" s="482"/>
      <c r="R204" s="482"/>
      <c r="S204" s="482"/>
      <c r="T204" s="482"/>
      <c r="U204" s="482"/>
      <c r="V204" s="482"/>
      <c r="W204" s="482"/>
      <c r="X204" s="482"/>
      <c r="Y204" s="482"/>
      <c r="Z204" s="482"/>
      <c r="AA204" s="481"/>
      <c r="AB204" s="481"/>
      <c r="AC204" s="482"/>
      <c r="AD204" s="482"/>
      <c r="AE204" s="482"/>
      <c r="AF204" s="481"/>
      <c r="AG204" s="482"/>
      <c r="AH204" s="482"/>
      <c r="AI204" s="482"/>
      <c r="AJ204" s="481"/>
      <c r="AK204" s="481"/>
      <c r="AL204" s="481"/>
      <c r="AM204" s="482"/>
      <c r="AN204" s="487"/>
      <c r="AO204" s="490"/>
      <c r="AP204" s="485"/>
      <c r="AQ204" s="482"/>
      <c r="AR204" s="482"/>
      <c r="AS204" s="482"/>
      <c r="AT204" s="482"/>
      <c r="AU204" s="482"/>
      <c r="AV204" s="482"/>
      <c r="AW204" s="482"/>
      <c r="AX204" s="482"/>
      <c r="AY204" s="481"/>
      <c r="AZ204" s="482"/>
      <c r="BA204" s="482"/>
      <c r="BB204" s="482"/>
      <c r="BC204" s="482"/>
      <c r="BD204" s="482"/>
      <c r="BE204" s="482"/>
      <c r="BF204" s="482"/>
      <c r="BG204" s="482"/>
      <c r="BH204" s="481"/>
      <c r="BI204" s="482"/>
      <c r="BJ204" s="482"/>
      <c r="BK204" s="482"/>
      <c r="BL204" s="481"/>
      <c r="BM204" s="481"/>
      <c r="BN204" s="481"/>
      <c r="BO204" s="482"/>
      <c r="BP204" s="482"/>
    </row>
    <row r="205" spans="2:68" ht="14.25" hidden="1" customHeight="1">
      <c r="B205" s="481"/>
      <c r="C205" s="482"/>
      <c r="D205" s="482"/>
      <c r="E205" s="482"/>
      <c r="F205" s="482"/>
      <c r="G205" s="482"/>
      <c r="H205" s="482"/>
      <c r="I205" s="483"/>
      <c r="J205" s="483"/>
      <c r="K205" s="483"/>
      <c r="L205" s="482"/>
      <c r="M205" s="482"/>
      <c r="N205" s="482"/>
      <c r="O205" s="482"/>
      <c r="P205" s="482"/>
      <c r="Q205" s="482"/>
      <c r="R205" s="482"/>
      <c r="S205" s="482"/>
      <c r="T205" s="482"/>
      <c r="U205" s="482"/>
      <c r="V205" s="482"/>
      <c r="W205" s="482"/>
      <c r="X205" s="482"/>
      <c r="Y205" s="482"/>
      <c r="Z205" s="482"/>
      <c r="AA205" s="481"/>
      <c r="AB205" s="481"/>
      <c r="AC205" s="482"/>
      <c r="AD205" s="482"/>
      <c r="AE205" s="482"/>
      <c r="AF205" s="481"/>
      <c r="AG205" s="482"/>
      <c r="AH205" s="482"/>
      <c r="AI205" s="482"/>
      <c r="AJ205" s="481"/>
      <c r="AK205" s="481"/>
      <c r="AL205" s="481"/>
      <c r="AM205" s="482"/>
      <c r="AN205" s="487"/>
      <c r="AO205" s="490"/>
      <c r="AP205" s="485"/>
      <c r="AQ205" s="482"/>
      <c r="AR205" s="482"/>
      <c r="AS205" s="482"/>
      <c r="AT205" s="482"/>
      <c r="AU205" s="482"/>
      <c r="AV205" s="482"/>
      <c r="AW205" s="482"/>
      <c r="AX205" s="482"/>
      <c r="AY205" s="481"/>
      <c r="AZ205" s="482"/>
      <c r="BA205" s="482"/>
      <c r="BB205" s="482"/>
      <c r="BC205" s="482"/>
      <c r="BD205" s="482"/>
      <c r="BE205" s="482"/>
      <c r="BF205" s="482"/>
      <c r="BG205" s="482"/>
      <c r="BH205" s="481"/>
      <c r="BI205" s="482"/>
      <c r="BJ205" s="482"/>
      <c r="BK205" s="482"/>
      <c r="BL205" s="481"/>
      <c r="BM205" s="481"/>
      <c r="BN205" s="481"/>
      <c r="BO205" s="482"/>
      <c r="BP205" s="482"/>
    </row>
    <row r="206" spans="2:68" ht="14.25" hidden="1" customHeight="1">
      <c r="B206" s="481"/>
      <c r="C206" s="482"/>
      <c r="D206" s="482"/>
      <c r="E206" s="482"/>
      <c r="F206" s="482"/>
      <c r="G206" s="482"/>
      <c r="H206" s="482"/>
      <c r="I206" s="483"/>
      <c r="J206" s="483"/>
      <c r="K206" s="483"/>
      <c r="L206" s="482"/>
      <c r="M206" s="482"/>
      <c r="N206" s="482"/>
      <c r="O206" s="482"/>
      <c r="P206" s="482"/>
      <c r="Q206" s="482"/>
      <c r="R206" s="482"/>
      <c r="S206" s="482"/>
      <c r="T206" s="482"/>
      <c r="U206" s="482"/>
      <c r="V206" s="482"/>
      <c r="W206" s="482"/>
      <c r="X206" s="482"/>
      <c r="Y206" s="482"/>
      <c r="Z206" s="482"/>
      <c r="AA206" s="481"/>
      <c r="AB206" s="481"/>
      <c r="AC206" s="482"/>
      <c r="AD206" s="482"/>
      <c r="AE206" s="482"/>
      <c r="AF206" s="481"/>
      <c r="AG206" s="482"/>
      <c r="AH206" s="482"/>
      <c r="AI206" s="482"/>
      <c r="AJ206" s="481"/>
      <c r="AK206" s="481"/>
      <c r="AL206" s="481"/>
      <c r="AM206" s="482"/>
      <c r="AN206" s="487"/>
      <c r="AO206" s="490"/>
      <c r="AP206" s="485"/>
      <c r="AQ206" s="482"/>
      <c r="AR206" s="482"/>
      <c r="AS206" s="482"/>
      <c r="AT206" s="482"/>
      <c r="AU206" s="482"/>
      <c r="AV206" s="482"/>
      <c r="AW206" s="482"/>
      <c r="AX206" s="482"/>
      <c r="AY206" s="481"/>
      <c r="AZ206" s="482"/>
      <c r="BA206" s="482"/>
      <c r="BB206" s="482"/>
      <c r="BC206" s="482"/>
      <c r="BD206" s="482"/>
      <c r="BE206" s="482"/>
      <c r="BF206" s="482"/>
      <c r="BG206" s="482"/>
      <c r="BH206" s="481"/>
      <c r="BI206" s="482"/>
      <c r="BJ206" s="482"/>
      <c r="BK206" s="482"/>
      <c r="BL206" s="481"/>
      <c r="BM206" s="481"/>
      <c r="BN206" s="481"/>
      <c r="BO206" s="482"/>
      <c r="BP206" s="482"/>
    </row>
    <row r="207" spans="2:68" ht="14.25" hidden="1" customHeight="1">
      <c r="B207" s="481"/>
      <c r="C207" s="482"/>
      <c r="D207" s="482"/>
      <c r="E207" s="482"/>
      <c r="F207" s="482"/>
      <c r="G207" s="482"/>
      <c r="H207" s="482"/>
      <c r="I207" s="483"/>
      <c r="J207" s="483"/>
      <c r="K207" s="483"/>
      <c r="L207" s="482"/>
      <c r="M207" s="482"/>
      <c r="N207" s="482"/>
      <c r="O207" s="482"/>
      <c r="P207" s="482"/>
      <c r="Q207" s="482"/>
      <c r="R207" s="482"/>
      <c r="S207" s="482"/>
      <c r="T207" s="482"/>
      <c r="U207" s="482"/>
      <c r="V207" s="482"/>
      <c r="W207" s="482"/>
      <c r="X207" s="482"/>
      <c r="Y207" s="482"/>
      <c r="Z207" s="482"/>
      <c r="AA207" s="481"/>
      <c r="AB207" s="481"/>
      <c r="AC207" s="482"/>
      <c r="AD207" s="482"/>
      <c r="AE207" s="482"/>
      <c r="AF207" s="481"/>
      <c r="AG207" s="482"/>
      <c r="AH207" s="482"/>
      <c r="AI207" s="482"/>
      <c r="AJ207" s="481"/>
      <c r="AK207" s="481"/>
      <c r="AL207" s="481"/>
      <c r="AM207" s="482"/>
      <c r="AN207" s="487"/>
      <c r="AO207" s="490"/>
      <c r="AP207" s="485"/>
      <c r="AQ207" s="482"/>
      <c r="AR207" s="482"/>
      <c r="AS207" s="482"/>
      <c r="AT207" s="482"/>
      <c r="AU207" s="482"/>
      <c r="AV207" s="482"/>
      <c r="AW207" s="482"/>
      <c r="AX207" s="482"/>
      <c r="AY207" s="481"/>
      <c r="AZ207" s="482"/>
      <c r="BA207" s="482"/>
      <c r="BB207" s="482"/>
      <c r="BC207" s="482"/>
      <c r="BD207" s="482"/>
      <c r="BE207" s="482"/>
      <c r="BF207" s="482"/>
      <c r="BG207" s="482"/>
      <c r="BH207" s="481"/>
      <c r="BI207" s="482"/>
      <c r="BJ207" s="482"/>
      <c r="BK207" s="482"/>
      <c r="BL207" s="481"/>
      <c r="BM207" s="481"/>
      <c r="BN207" s="481"/>
      <c r="BO207" s="482"/>
      <c r="BP207" s="482"/>
    </row>
    <row r="208" spans="2:68" ht="14.25" hidden="1" customHeight="1">
      <c r="B208" s="481"/>
      <c r="C208" s="482"/>
      <c r="D208" s="482"/>
      <c r="E208" s="482"/>
      <c r="F208" s="482"/>
      <c r="G208" s="482"/>
      <c r="H208" s="482"/>
      <c r="I208" s="483"/>
      <c r="J208" s="483"/>
      <c r="K208" s="483"/>
      <c r="L208" s="482"/>
      <c r="M208" s="482"/>
      <c r="N208" s="482"/>
      <c r="O208" s="482"/>
      <c r="P208" s="482"/>
      <c r="Q208" s="482"/>
      <c r="R208" s="482"/>
      <c r="S208" s="482"/>
      <c r="T208" s="482"/>
      <c r="U208" s="482"/>
      <c r="V208" s="482"/>
      <c r="W208" s="482"/>
      <c r="X208" s="482"/>
      <c r="Y208" s="482"/>
      <c r="Z208" s="482"/>
      <c r="AA208" s="481"/>
      <c r="AB208" s="481"/>
      <c r="AC208" s="482"/>
      <c r="AD208" s="482"/>
      <c r="AE208" s="482"/>
      <c r="AF208" s="481"/>
      <c r="AG208" s="482"/>
      <c r="AH208" s="482"/>
      <c r="AI208" s="482"/>
      <c r="AJ208" s="481"/>
      <c r="AK208" s="481"/>
      <c r="AL208" s="481"/>
      <c r="AM208" s="482"/>
      <c r="AN208" s="487"/>
      <c r="AO208" s="490"/>
      <c r="AP208" s="485"/>
      <c r="AQ208" s="482"/>
      <c r="AR208" s="482"/>
      <c r="AS208" s="482"/>
      <c r="AT208" s="482"/>
      <c r="AU208" s="482"/>
      <c r="AV208" s="482"/>
      <c r="AW208" s="482"/>
      <c r="AX208" s="482"/>
      <c r="AY208" s="481"/>
      <c r="AZ208" s="482"/>
      <c r="BA208" s="482"/>
      <c r="BB208" s="482"/>
      <c r="BC208" s="482"/>
      <c r="BD208" s="482"/>
      <c r="BE208" s="482"/>
      <c r="BF208" s="482"/>
      <c r="BG208" s="482"/>
      <c r="BH208" s="481"/>
      <c r="BI208" s="482"/>
      <c r="BJ208" s="482"/>
      <c r="BK208" s="482"/>
      <c r="BL208" s="481"/>
      <c r="BM208" s="481"/>
      <c r="BN208" s="481"/>
      <c r="BO208" s="482"/>
      <c r="BP208" s="482"/>
    </row>
    <row r="209" spans="2:68" ht="14.25" hidden="1" customHeight="1">
      <c r="B209" s="481"/>
      <c r="C209" s="482"/>
      <c r="D209" s="482"/>
      <c r="E209" s="482"/>
      <c r="F209" s="482"/>
      <c r="G209" s="482"/>
      <c r="H209" s="482"/>
      <c r="I209" s="483"/>
      <c r="J209" s="483"/>
      <c r="K209" s="483"/>
      <c r="L209" s="482"/>
      <c r="M209" s="482"/>
      <c r="N209" s="482"/>
      <c r="O209" s="482"/>
      <c r="P209" s="482"/>
      <c r="Q209" s="482"/>
      <c r="R209" s="482"/>
      <c r="S209" s="482"/>
      <c r="T209" s="482"/>
      <c r="U209" s="482"/>
      <c r="V209" s="482"/>
      <c r="W209" s="482"/>
      <c r="X209" s="482"/>
      <c r="Y209" s="482"/>
      <c r="Z209" s="482"/>
      <c r="AA209" s="481"/>
      <c r="AB209" s="481"/>
      <c r="AC209" s="482"/>
      <c r="AD209" s="482"/>
      <c r="AE209" s="482"/>
      <c r="AF209" s="481"/>
      <c r="AG209" s="482"/>
      <c r="AH209" s="482"/>
      <c r="AI209" s="482"/>
      <c r="AJ209" s="481"/>
      <c r="AK209" s="481"/>
      <c r="AL209" s="481"/>
      <c r="AM209" s="482"/>
      <c r="AN209" s="487"/>
      <c r="AO209" s="490"/>
      <c r="AP209" s="485"/>
      <c r="AQ209" s="482"/>
      <c r="AR209" s="482"/>
      <c r="AS209" s="482"/>
      <c r="AT209" s="482"/>
      <c r="AU209" s="482"/>
      <c r="AV209" s="482"/>
      <c r="AW209" s="482"/>
      <c r="AX209" s="482"/>
      <c r="AY209" s="481"/>
      <c r="AZ209" s="482"/>
      <c r="BA209" s="482"/>
      <c r="BB209" s="482"/>
      <c r="BC209" s="482"/>
      <c r="BD209" s="482"/>
      <c r="BE209" s="482"/>
      <c r="BF209" s="482"/>
      <c r="BG209" s="482"/>
      <c r="BH209" s="481"/>
      <c r="BI209" s="482"/>
      <c r="BJ209" s="482"/>
      <c r="BK209" s="482"/>
      <c r="BL209" s="481"/>
      <c r="BM209" s="481"/>
      <c r="BN209" s="481"/>
      <c r="BO209" s="482"/>
      <c r="BP209" s="482"/>
    </row>
    <row r="210" spans="2:68" ht="14.25" hidden="1" customHeight="1">
      <c r="B210" s="481"/>
      <c r="C210" s="482"/>
      <c r="D210" s="482"/>
      <c r="E210" s="482"/>
      <c r="F210" s="482"/>
      <c r="G210" s="482"/>
      <c r="H210" s="482"/>
      <c r="I210" s="483"/>
      <c r="J210" s="483"/>
      <c r="K210" s="483"/>
      <c r="L210" s="482"/>
      <c r="M210" s="482"/>
      <c r="N210" s="482"/>
      <c r="O210" s="482"/>
      <c r="P210" s="482"/>
      <c r="Q210" s="482"/>
      <c r="R210" s="482"/>
      <c r="S210" s="482"/>
      <c r="T210" s="482"/>
      <c r="U210" s="482"/>
      <c r="V210" s="482"/>
      <c r="W210" s="482"/>
      <c r="X210" s="482"/>
      <c r="Y210" s="482"/>
      <c r="Z210" s="482"/>
      <c r="AA210" s="481"/>
      <c r="AB210" s="481"/>
      <c r="AC210" s="482"/>
      <c r="AD210" s="482"/>
      <c r="AE210" s="482"/>
      <c r="AF210" s="481"/>
      <c r="AG210" s="482"/>
      <c r="AH210" s="482"/>
      <c r="AI210" s="482"/>
      <c r="AJ210" s="481"/>
      <c r="AK210" s="481"/>
      <c r="AL210" s="481"/>
      <c r="AM210" s="482"/>
      <c r="AN210" s="487"/>
      <c r="AO210" s="490"/>
      <c r="AP210" s="485"/>
      <c r="AQ210" s="482"/>
      <c r="AR210" s="482"/>
      <c r="AS210" s="482"/>
      <c r="AT210" s="482"/>
      <c r="AU210" s="482"/>
      <c r="AV210" s="482"/>
      <c r="AW210" s="482"/>
      <c r="AX210" s="482"/>
      <c r="AY210" s="481"/>
      <c r="AZ210" s="482"/>
      <c r="BA210" s="482"/>
      <c r="BB210" s="482"/>
      <c r="BC210" s="482"/>
      <c r="BD210" s="482"/>
      <c r="BE210" s="482"/>
      <c r="BF210" s="482"/>
      <c r="BG210" s="482"/>
      <c r="BH210" s="481"/>
      <c r="BI210" s="482"/>
      <c r="BJ210" s="482"/>
      <c r="BK210" s="482"/>
      <c r="BL210" s="481"/>
      <c r="BM210" s="481"/>
      <c r="BN210" s="481"/>
      <c r="BO210" s="482"/>
      <c r="BP210" s="482"/>
    </row>
    <row r="211" spans="2:68" ht="14.25" hidden="1" customHeight="1">
      <c r="B211" s="481"/>
      <c r="C211" s="482"/>
      <c r="D211" s="482"/>
      <c r="E211" s="482"/>
      <c r="F211" s="482"/>
      <c r="G211" s="482"/>
      <c r="H211" s="482"/>
      <c r="I211" s="483"/>
      <c r="J211" s="483"/>
      <c r="K211" s="483"/>
      <c r="L211" s="482"/>
      <c r="M211" s="482"/>
      <c r="N211" s="482"/>
      <c r="O211" s="482"/>
      <c r="P211" s="482"/>
      <c r="Q211" s="482"/>
      <c r="R211" s="482"/>
      <c r="S211" s="482"/>
      <c r="T211" s="482"/>
      <c r="U211" s="482"/>
      <c r="V211" s="482"/>
      <c r="W211" s="482"/>
      <c r="X211" s="482"/>
      <c r="Y211" s="482"/>
      <c r="Z211" s="482"/>
      <c r="AA211" s="481"/>
      <c r="AB211" s="481"/>
      <c r="AC211" s="482"/>
      <c r="AD211" s="482"/>
      <c r="AE211" s="482"/>
      <c r="AF211" s="481"/>
      <c r="AG211" s="482"/>
      <c r="AH211" s="482"/>
      <c r="AI211" s="482"/>
      <c r="AJ211" s="481"/>
      <c r="AK211" s="481"/>
      <c r="AL211" s="481"/>
      <c r="AM211" s="482"/>
      <c r="AN211" s="487"/>
      <c r="AO211" s="490"/>
      <c r="AP211" s="485"/>
      <c r="AQ211" s="482"/>
      <c r="AR211" s="482"/>
      <c r="AS211" s="482"/>
      <c r="AT211" s="482"/>
      <c r="AU211" s="482"/>
      <c r="AV211" s="482"/>
      <c r="AW211" s="482"/>
      <c r="AX211" s="482"/>
      <c r="AY211" s="481"/>
      <c r="AZ211" s="482"/>
      <c r="BA211" s="482"/>
      <c r="BB211" s="482"/>
      <c r="BC211" s="482"/>
      <c r="BD211" s="482"/>
      <c r="BE211" s="482"/>
      <c r="BF211" s="482"/>
      <c r="BG211" s="482"/>
      <c r="BH211" s="481"/>
      <c r="BI211" s="482"/>
      <c r="BJ211" s="482"/>
      <c r="BK211" s="482"/>
      <c r="BL211" s="481"/>
      <c r="BM211" s="481"/>
      <c r="BN211" s="481"/>
      <c r="BO211" s="482"/>
      <c r="BP211" s="482"/>
    </row>
    <row r="212" spans="2:68" ht="14.25" hidden="1" customHeight="1">
      <c r="B212" s="481"/>
      <c r="C212" s="482"/>
      <c r="D212" s="482"/>
      <c r="E212" s="482"/>
      <c r="F212" s="482"/>
      <c r="G212" s="482"/>
      <c r="H212" s="482"/>
      <c r="I212" s="483"/>
      <c r="J212" s="483"/>
      <c r="K212" s="483"/>
      <c r="L212" s="482"/>
      <c r="M212" s="482"/>
      <c r="N212" s="482"/>
      <c r="O212" s="482"/>
      <c r="P212" s="482"/>
      <c r="Q212" s="482"/>
      <c r="R212" s="482"/>
      <c r="S212" s="482"/>
      <c r="T212" s="482"/>
      <c r="U212" s="482"/>
      <c r="V212" s="482"/>
      <c r="W212" s="482"/>
      <c r="X212" s="482"/>
      <c r="Y212" s="482"/>
      <c r="Z212" s="482"/>
      <c r="AA212" s="481"/>
      <c r="AB212" s="481"/>
      <c r="AC212" s="482"/>
      <c r="AD212" s="482"/>
      <c r="AE212" s="482"/>
      <c r="AF212" s="481"/>
      <c r="AG212" s="482"/>
      <c r="AH212" s="482"/>
      <c r="AI212" s="482"/>
      <c r="AJ212" s="481"/>
      <c r="AK212" s="481"/>
      <c r="AL212" s="481"/>
      <c r="AM212" s="482"/>
      <c r="AN212" s="487"/>
      <c r="AO212" s="490"/>
      <c r="AP212" s="485"/>
      <c r="AQ212" s="482"/>
      <c r="AR212" s="482"/>
      <c r="AS212" s="482"/>
      <c r="AT212" s="482"/>
      <c r="AU212" s="482"/>
      <c r="AV212" s="482"/>
      <c r="AW212" s="482"/>
      <c r="AX212" s="482"/>
      <c r="AY212" s="481"/>
      <c r="AZ212" s="482"/>
      <c r="BA212" s="482"/>
      <c r="BB212" s="482"/>
      <c r="BC212" s="482"/>
      <c r="BD212" s="482"/>
      <c r="BE212" s="482"/>
      <c r="BF212" s="482"/>
      <c r="BG212" s="482"/>
      <c r="BH212" s="481"/>
      <c r="BI212" s="482"/>
      <c r="BJ212" s="482"/>
      <c r="BK212" s="482"/>
      <c r="BL212" s="481"/>
      <c r="BM212" s="481"/>
      <c r="BN212" s="481"/>
      <c r="BO212" s="482"/>
      <c r="BP212" s="482"/>
    </row>
    <row r="213" spans="2:68" ht="14.25" hidden="1" customHeight="1">
      <c r="B213" s="481"/>
      <c r="C213" s="482"/>
      <c r="D213" s="482"/>
      <c r="E213" s="482"/>
      <c r="F213" s="482"/>
      <c r="G213" s="482"/>
      <c r="H213" s="482"/>
      <c r="I213" s="483"/>
      <c r="J213" s="483"/>
      <c r="K213" s="483"/>
      <c r="L213" s="482"/>
      <c r="M213" s="482"/>
      <c r="N213" s="482"/>
      <c r="O213" s="482"/>
      <c r="P213" s="482"/>
      <c r="Q213" s="482"/>
      <c r="R213" s="482"/>
      <c r="S213" s="482"/>
      <c r="T213" s="482"/>
      <c r="U213" s="482"/>
      <c r="V213" s="482"/>
      <c r="W213" s="482"/>
      <c r="X213" s="482"/>
      <c r="Y213" s="482"/>
      <c r="Z213" s="482"/>
      <c r="AA213" s="481"/>
      <c r="AB213" s="481"/>
      <c r="AC213" s="482"/>
      <c r="AD213" s="482"/>
      <c r="AE213" s="482"/>
      <c r="AF213" s="481"/>
      <c r="AG213" s="482"/>
      <c r="AH213" s="482"/>
      <c r="AI213" s="482"/>
      <c r="AJ213" s="481"/>
      <c r="AK213" s="481"/>
      <c r="AL213" s="481"/>
      <c r="AM213" s="482"/>
      <c r="AN213" s="487"/>
      <c r="AO213" s="490"/>
      <c r="AP213" s="485"/>
      <c r="AQ213" s="482"/>
      <c r="AR213" s="482"/>
      <c r="AS213" s="482"/>
      <c r="AT213" s="482"/>
      <c r="AU213" s="482"/>
      <c r="AV213" s="482"/>
      <c r="AW213" s="482"/>
      <c r="AX213" s="482"/>
      <c r="AY213" s="481"/>
      <c r="AZ213" s="482"/>
      <c r="BA213" s="482"/>
      <c r="BB213" s="482"/>
      <c r="BC213" s="482"/>
      <c r="BD213" s="482"/>
      <c r="BE213" s="482"/>
      <c r="BF213" s="482"/>
      <c r="BG213" s="482"/>
      <c r="BH213" s="481"/>
      <c r="BI213" s="482"/>
      <c r="BJ213" s="482"/>
      <c r="BK213" s="482"/>
      <c r="BL213" s="481"/>
      <c r="BM213" s="481"/>
      <c r="BN213" s="481"/>
      <c r="BO213" s="482"/>
      <c r="BP213" s="482"/>
    </row>
    <row r="214" spans="2:68" ht="14.25" hidden="1" customHeight="1">
      <c r="B214" s="481"/>
      <c r="C214" s="482"/>
      <c r="D214" s="482"/>
      <c r="E214" s="482"/>
      <c r="F214" s="482"/>
      <c r="G214" s="482"/>
      <c r="H214" s="482"/>
      <c r="I214" s="483"/>
      <c r="J214" s="483"/>
      <c r="K214" s="483"/>
      <c r="L214" s="482"/>
      <c r="M214" s="482"/>
      <c r="N214" s="482"/>
      <c r="O214" s="482"/>
      <c r="P214" s="482"/>
      <c r="Q214" s="482"/>
      <c r="R214" s="482"/>
      <c r="S214" s="482"/>
      <c r="T214" s="482"/>
      <c r="U214" s="482"/>
      <c r="V214" s="482"/>
      <c r="W214" s="482"/>
      <c r="X214" s="482"/>
      <c r="Y214" s="482"/>
      <c r="Z214" s="482"/>
      <c r="AA214" s="481"/>
      <c r="AB214" s="481"/>
      <c r="AC214" s="482"/>
      <c r="AD214" s="482"/>
      <c r="AE214" s="482"/>
      <c r="AF214" s="481"/>
      <c r="AG214" s="482"/>
      <c r="AH214" s="482"/>
      <c r="AI214" s="482"/>
      <c r="AJ214" s="481"/>
      <c r="AK214" s="481"/>
      <c r="AL214" s="481"/>
      <c r="AM214" s="482"/>
      <c r="AN214" s="487"/>
      <c r="AO214" s="490"/>
      <c r="AP214" s="485"/>
      <c r="AQ214" s="482"/>
      <c r="AR214" s="482"/>
      <c r="AS214" s="482"/>
      <c r="AT214" s="482"/>
      <c r="AU214" s="482"/>
      <c r="AV214" s="482"/>
      <c r="AW214" s="482"/>
      <c r="AX214" s="482"/>
      <c r="AY214" s="481"/>
      <c r="AZ214" s="482"/>
      <c r="BA214" s="482"/>
      <c r="BB214" s="482"/>
      <c r="BC214" s="482"/>
      <c r="BD214" s="482"/>
      <c r="BE214" s="482"/>
      <c r="BF214" s="482"/>
      <c r="BG214" s="482"/>
      <c r="BH214" s="481"/>
      <c r="BI214" s="482"/>
      <c r="BJ214" s="482"/>
      <c r="BK214" s="482"/>
      <c r="BL214" s="481"/>
      <c r="BM214" s="481"/>
      <c r="BN214" s="481"/>
      <c r="BO214" s="482"/>
      <c r="BP214" s="482"/>
    </row>
    <row r="215" spans="2:68" ht="14.25" hidden="1" customHeight="1">
      <c r="B215" s="481"/>
      <c r="C215" s="482"/>
      <c r="D215" s="482"/>
      <c r="E215" s="482"/>
      <c r="F215" s="482"/>
      <c r="G215" s="482"/>
      <c r="H215" s="482"/>
      <c r="I215" s="483"/>
      <c r="J215" s="483"/>
      <c r="K215" s="483"/>
      <c r="L215" s="482"/>
      <c r="M215" s="482"/>
      <c r="N215" s="482"/>
      <c r="O215" s="482"/>
      <c r="P215" s="482"/>
      <c r="Q215" s="482"/>
      <c r="R215" s="482"/>
      <c r="S215" s="482"/>
      <c r="T215" s="482"/>
      <c r="U215" s="482"/>
      <c r="V215" s="482"/>
      <c r="W215" s="482"/>
      <c r="X215" s="482"/>
      <c r="Y215" s="482"/>
      <c r="Z215" s="482"/>
      <c r="AA215" s="481"/>
      <c r="AB215" s="481"/>
      <c r="AC215" s="482"/>
      <c r="AD215" s="482"/>
      <c r="AE215" s="482"/>
      <c r="AF215" s="481"/>
      <c r="AG215" s="482"/>
      <c r="AH215" s="482"/>
      <c r="AI215" s="482"/>
      <c r="AJ215" s="481"/>
      <c r="AK215" s="481"/>
      <c r="AL215" s="481"/>
      <c r="AM215" s="482"/>
      <c r="AN215" s="487"/>
      <c r="AO215" s="490"/>
      <c r="AP215" s="485"/>
      <c r="AQ215" s="482"/>
      <c r="AR215" s="482"/>
      <c r="AS215" s="482"/>
      <c r="AT215" s="482"/>
      <c r="AU215" s="482"/>
      <c r="AV215" s="482"/>
      <c r="AW215" s="482"/>
      <c r="AX215" s="482"/>
      <c r="AY215" s="481"/>
      <c r="AZ215" s="482"/>
      <c r="BA215" s="482"/>
      <c r="BB215" s="482"/>
      <c r="BC215" s="482"/>
      <c r="BD215" s="482"/>
      <c r="BE215" s="482"/>
      <c r="BF215" s="482"/>
      <c r="BG215" s="482"/>
      <c r="BH215" s="481"/>
      <c r="BI215" s="482"/>
      <c r="BJ215" s="482"/>
      <c r="BK215" s="482"/>
      <c r="BL215" s="481"/>
      <c r="BM215" s="481"/>
      <c r="BN215" s="481"/>
      <c r="BO215" s="482"/>
      <c r="BP215" s="482"/>
    </row>
    <row r="216" spans="2:68" ht="14.25" hidden="1" customHeight="1">
      <c r="B216" s="481"/>
      <c r="C216" s="482"/>
      <c r="D216" s="482"/>
      <c r="E216" s="482"/>
      <c r="F216" s="482"/>
      <c r="G216" s="482"/>
      <c r="H216" s="482"/>
      <c r="I216" s="483"/>
      <c r="J216" s="483"/>
      <c r="K216" s="483"/>
      <c r="L216" s="482"/>
      <c r="M216" s="482"/>
      <c r="N216" s="482"/>
      <c r="O216" s="482"/>
      <c r="P216" s="482"/>
      <c r="Q216" s="482"/>
      <c r="R216" s="482"/>
      <c r="S216" s="482"/>
      <c r="T216" s="482"/>
      <c r="U216" s="482"/>
      <c r="V216" s="482"/>
      <c r="W216" s="482"/>
      <c r="X216" s="482"/>
      <c r="Y216" s="482"/>
      <c r="Z216" s="482"/>
      <c r="AA216" s="481"/>
      <c r="AB216" s="481"/>
      <c r="AC216" s="482"/>
      <c r="AD216" s="482"/>
      <c r="AE216" s="482"/>
      <c r="AF216" s="481"/>
      <c r="AG216" s="482"/>
      <c r="AH216" s="482"/>
      <c r="AI216" s="482"/>
      <c r="AJ216" s="481"/>
      <c r="AK216" s="481"/>
      <c r="AL216" s="481"/>
      <c r="AM216" s="482"/>
      <c r="AN216" s="487"/>
      <c r="AO216" s="490"/>
      <c r="AP216" s="485"/>
      <c r="AQ216" s="482"/>
      <c r="AR216" s="482"/>
      <c r="AS216" s="482"/>
      <c r="AT216" s="482"/>
      <c r="AU216" s="482"/>
      <c r="AV216" s="482"/>
      <c r="AW216" s="482"/>
      <c r="AX216" s="482"/>
      <c r="AY216" s="481"/>
      <c r="AZ216" s="482"/>
      <c r="BA216" s="482"/>
      <c r="BB216" s="482"/>
      <c r="BC216" s="482"/>
      <c r="BD216" s="482"/>
      <c r="BE216" s="482"/>
      <c r="BF216" s="482"/>
      <c r="BG216" s="482"/>
      <c r="BH216" s="481"/>
      <c r="BI216" s="482"/>
      <c r="BJ216" s="482"/>
      <c r="BK216" s="482"/>
      <c r="BL216" s="481"/>
      <c r="BM216" s="481"/>
      <c r="BN216" s="481"/>
      <c r="BO216" s="482"/>
      <c r="BP216" s="482"/>
    </row>
    <row r="217" spans="2:68" ht="14.25" hidden="1" customHeight="1">
      <c r="B217" s="481"/>
      <c r="C217" s="482"/>
      <c r="D217" s="482"/>
      <c r="E217" s="482"/>
      <c r="F217" s="482"/>
      <c r="G217" s="482"/>
      <c r="H217" s="482"/>
      <c r="I217" s="483"/>
      <c r="J217" s="483"/>
      <c r="K217" s="483"/>
      <c r="L217" s="482"/>
      <c r="M217" s="482"/>
      <c r="N217" s="482"/>
      <c r="O217" s="482"/>
      <c r="P217" s="482"/>
      <c r="Q217" s="482"/>
      <c r="R217" s="482"/>
      <c r="S217" s="482"/>
      <c r="T217" s="482"/>
      <c r="U217" s="482"/>
      <c r="V217" s="482"/>
      <c r="W217" s="482"/>
      <c r="X217" s="482"/>
      <c r="Y217" s="482"/>
      <c r="Z217" s="482"/>
      <c r="AA217" s="481"/>
      <c r="AB217" s="481"/>
      <c r="AC217" s="482"/>
      <c r="AD217" s="482"/>
      <c r="AE217" s="482"/>
      <c r="AF217" s="481"/>
      <c r="AG217" s="482"/>
      <c r="AH217" s="482"/>
      <c r="AI217" s="482"/>
      <c r="AJ217" s="481"/>
      <c r="AK217" s="481"/>
      <c r="AL217" s="481"/>
      <c r="AM217" s="482"/>
      <c r="AN217" s="487"/>
      <c r="AO217" s="490"/>
      <c r="AP217" s="485"/>
      <c r="AQ217" s="482"/>
      <c r="AR217" s="482"/>
      <c r="AS217" s="482"/>
      <c r="AT217" s="482"/>
      <c r="AU217" s="482"/>
      <c r="AV217" s="482"/>
      <c r="AW217" s="482"/>
      <c r="AX217" s="482"/>
      <c r="AY217" s="481"/>
      <c r="AZ217" s="482"/>
      <c r="BA217" s="482"/>
      <c r="BB217" s="482"/>
      <c r="BC217" s="482"/>
      <c r="BD217" s="482"/>
      <c r="BE217" s="482"/>
      <c r="BF217" s="482"/>
      <c r="BG217" s="482"/>
      <c r="BH217" s="481"/>
      <c r="BI217" s="482"/>
      <c r="BJ217" s="482"/>
      <c r="BK217" s="482"/>
      <c r="BL217" s="481"/>
      <c r="BM217" s="481"/>
      <c r="BN217" s="481"/>
      <c r="BO217" s="482"/>
      <c r="BP217" s="482"/>
    </row>
    <row r="218" spans="2:68" ht="14.25" hidden="1" customHeight="1">
      <c r="B218" s="481"/>
      <c r="C218" s="482"/>
      <c r="D218" s="482"/>
      <c r="E218" s="482"/>
      <c r="F218" s="482"/>
      <c r="G218" s="482"/>
      <c r="H218" s="482"/>
      <c r="I218" s="483"/>
      <c r="J218" s="483"/>
      <c r="K218" s="483"/>
      <c r="L218" s="482"/>
      <c r="M218" s="482"/>
      <c r="N218" s="482"/>
      <c r="O218" s="482"/>
      <c r="P218" s="482"/>
      <c r="Q218" s="482"/>
      <c r="R218" s="482"/>
      <c r="S218" s="482"/>
      <c r="T218" s="482"/>
      <c r="U218" s="482"/>
      <c r="V218" s="482"/>
      <c r="W218" s="482"/>
      <c r="X218" s="482"/>
      <c r="Y218" s="482"/>
      <c r="Z218" s="482"/>
      <c r="AA218" s="481"/>
      <c r="AB218" s="481"/>
      <c r="AC218" s="482"/>
      <c r="AD218" s="482"/>
      <c r="AE218" s="482"/>
      <c r="AF218" s="481"/>
      <c r="AG218" s="482"/>
      <c r="AH218" s="482"/>
      <c r="AI218" s="482"/>
      <c r="AJ218" s="481"/>
      <c r="AK218" s="481"/>
      <c r="AL218" s="481"/>
      <c r="AM218" s="482"/>
      <c r="AN218" s="487"/>
      <c r="AO218" s="490"/>
      <c r="AP218" s="485"/>
      <c r="AQ218" s="482"/>
      <c r="AR218" s="482"/>
      <c r="AS218" s="482"/>
      <c r="AT218" s="482"/>
      <c r="AU218" s="482"/>
      <c r="AV218" s="482"/>
      <c r="AW218" s="482"/>
      <c r="AX218" s="482"/>
      <c r="AY218" s="481"/>
      <c r="AZ218" s="482"/>
      <c r="BA218" s="482"/>
      <c r="BB218" s="482"/>
      <c r="BC218" s="482"/>
      <c r="BD218" s="482"/>
      <c r="BE218" s="482"/>
      <c r="BF218" s="482"/>
      <c r="BG218" s="482"/>
      <c r="BH218" s="481"/>
      <c r="BI218" s="482"/>
      <c r="BJ218" s="482"/>
      <c r="BK218" s="482"/>
      <c r="BL218" s="481"/>
      <c r="BM218" s="481"/>
      <c r="BN218" s="481"/>
      <c r="BO218" s="482"/>
      <c r="BP218" s="482"/>
    </row>
    <row r="219" spans="2:68" ht="14.25" hidden="1" customHeight="1">
      <c r="B219" s="481"/>
      <c r="C219" s="482"/>
      <c r="D219" s="482"/>
      <c r="E219" s="482"/>
      <c r="F219" s="482"/>
      <c r="G219" s="482"/>
      <c r="H219" s="482"/>
      <c r="I219" s="483"/>
      <c r="J219" s="483"/>
      <c r="K219" s="483"/>
      <c r="L219" s="482"/>
      <c r="M219" s="482"/>
      <c r="N219" s="482"/>
      <c r="O219" s="482"/>
      <c r="P219" s="482"/>
      <c r="Q219" s="482"/>
      <c r="R219" s="482"/>
      <c r="S219" s="482"/>
      <c r="T219" s="482"/>
      <c r="U219" s="482"/>
      <c r="V219" s="482"/>
      <c r="W219" s="482"/>
      <c r="X219" s="482"/>
      <c r="Y219" s="482"/>
      <c r="Z219" s="482"/>
      <c r="AA219" s="481"/>
      <c r="AB219" s="481"/>
      <c r="AC219" s="482"/>
      <c r="AD219" s="482"/>
      <c r="AE219" s="482"/>
      <c r="AF219" s="481"/>
      <c r="AG219" s="482"/>
      <c r="AH219" s="482"/>
      <c r="AI219" s="482"/>
      <c r="AJ219" s="481"/>
      <c r="AK219" s="481"/>
      <c r="AL219" s="481"/>
      <c r="AM219" s="482"/>
      <c r="AN219" s="487"/>
      <c r="AO219" s="490"/>
      <c r="AP219" s="485"/>
      <c r="AQ219" s="482"/>
      <c r="AR219" s="482"/>
      <c r="AS219" s="482"/>
      <c r="AT219" s="482"/>
      <c r="AU219" s="482"/>
      <c r="AV219" s="482"/>
      <c r="AW219" s="482"/>
      <c r="AX219" s="482"/>
      <c r="AY219" s="481"/>
      <c r="AZ219" s="482"/>
      <c r="BA219" s="482"/>
      <c r="BB219" s="482"/>
      <c r="BC219" s="482"/>
      <c r="BD219" s="482"/>
      <c r="BE219" s="482"/>
      <c r="BF219" s="482"/>
      <c r="BG219" s="482"/>
      <c r="BH219" s="481"/>
      <c r="BI219" s="482"/>
      <c r="BJ219" s="482"/>
      <c r="BK219" s="482"/>
      <c r="BL219" s="481"/>
      <c r="BM219" s="481"/>
      <c r="BN219" s="481"/>
      <c r="BO219" s="482"/>
      <c r="BP219" s="482"/>
    </row>
    <row r="220" spans="2:68" ht="14.25" hidden="1" customHeight="1">
      <c r="B220" s="481"/>
      <c r="C220" s="482"/>
      <c r="D220" s="482"/>
      <c r="E220" s="482"/>
      <c r="F220" s="482"/>
      <c r="G220" s="482"/>
      <c r="H220" s="482"/>
      <c r="I220" s="483"/>
      <c r="J220" s="483"/>
      <c r="K220" s="483"/>
      <c r="L220" s="482"/>
      <c r="M220" s="482"/>
      <c r="N220" s="482"/>
      <c r="O220" s="482"/>
      <c r="P220" s="482"/>
      <c r="Q220" s="482"/>
      <c r="R220" s="482"/>
      <c r="S220" s="482"/>
      <c r="T220" s="482"/>
      <c r="U220" s="482"/>
      <c r="V220" s="482"/>
      <c r="W220" s="482"/>
      <c r="X220" s="482"/>
      <c r="Y220" s="482"/>
      <c r="Z220" s="482"/>
      <c r="AA220" s="481"/>
      <c r="AB220" s="481"/>
      <c r="AC220" s="482"/>
      <c r="AD220" s="482"/>
      <c r="AE220" s="482"/>
      <c r="AF220" s="481"/>
      <c r="AG220" s="482"/>
      <c r="AH220" s="482"/>
      <c r="AI220" s="482"/>
      <c r="AJ220" s="481"/>
      <c r="AK220" s="481"/>
      <c r="AL220" s="481"/>
      <c r="AM220" s="482"/>
      <c r="AN220" s="487"/>
      <c r="AO220" s="490"/>
      <c r="AP220" s="485"/>
      <c r="AQ220" s="482"/>
      <c r="AR220" s="482"/>
      <c r="AS220" s="482"/>
      <c r="AT220" s="482"/>
      <c r="AU220" s="482"/>
      <c r="AV220" s="482"/>
      <c r="AW220" s="482"/>
      <c r="AX220" s="482"/>
      <c r="AY220" s="481"/>
      <c r="AZ220" s="482"/>
      <c r="BA220" s="482"/>
      <c r="BB220" s="482"/>
      <c r="BC220" s="482"/>
      <c r="BD220" s="482"/>
      <c r="BE220" s="482"/>
      <c r="BF220" s="482"/>
      <c r="BG220" s="482"/>
      <c r="BH220" s="481"/>
      <c r="BI220" s="482"/>
      <c r="BJ220" s="482"/>
      <c r="BK220" s="482"/>
      <c r="BL220" s="481"/>
      <c r="BM220" s="481"/>
      <c r="BN220" s="481"/>
      <c r="BO220" s="482"/>
      <c r="BP220" s="482"/>
    </row>
    <row r="221" spans="2:68" ht="14.25" hidden="1" customHeight="1">
      <c r="B221" s="481"/>
      <c r="C221" s="482"/>
      <c r="D221" s="482"/>
      <c r="E221" s="482"/>
      <c r="F221" s="482"/>
      <c r="G221" s="482"/>
      <c r="H221" s="482"/>
      <c r="I221" s="483"/>
      <c r="J221" s="483"/>
      <c r="K221" s="483"/>
      <c r="L221" s="482"/>
      <c r="M221" s="482"/>
      <c r="N221" s="482"/>
      <c r="O221" s="482"/>
      <c r="P221" s="482"/>
      <c r="Q221" s="482"/>
      <c r="R221" s="482"/>
      <c r="S221" s="482"/>
      <c r="T221" s="482"/>
      <c r="U221" s="482"/>
      <c r="V221" s="482"/>
      <c r="W221" s="482"/>
      <c r="X221" s="482"/>
      <c r="Y221" s="482"/>
      <c r="Z221" s="482"/>
      <c r="AA221" s="481"/>
      <c r="AB221" s="481"/>
      <c r="AC221" s="482"/>
      <c r="AD221" s="482"/>
      <c r="AE221" s="482"/>
      <c r="AF221" s="481"/>
      <c r="AG221" s="482"/>
      <c r="AH221" s="482"/>
      <c r="AI221" s="482"/>
      <c r="AJ221" s="481"/>
      <c r="AK221" s="481"/>
      <c r="AL221" s="481"/>
      <c r="AM221" s="482"/>
      <c r="AN221" s="487"/>
      <c r="AO221" s="490"/>
      <c r="AP221" s="485"/>
      <c r="AQ221" s="482"/>
      <c r="AR221" s="482"/>
      <c r="AS221" s="482"/>
      <c r="AT221" s="482"/>
      <c r="AU221" s="482"/>
      <c r="AV221" s="482"/>
      <c r="AW221" s="482"/>
      <c r="AX221" s="482"/>
      <c r="AY221" s="481"/>
      <c r="AZ221" s="482"/>
      <c r="BA221" s="482"/>
      <c r="BB221" s="482"/>
      <c r="BC221" s="482"/>
      <c r="BD221" s="482"/>
      <c r="BE221" s="482"/>
      <c r="BF221" s="482"/>
      <c r="BG221" s="482"/>
      <c r="BH221" s="481"/>
      <c r="BI221" s="482"/>
      <c r="BJ221" s="482"/>
      <c r="BK221" s="482"/>
      <c r="BL221" s="481"/>
      <c r="BM221" s="481"/>
      <c r="BN221" s="481"/>
      <c r="BO221" s="482"/>
      <c r="BP221" s="482"/>
    </row>
    <row r="222" spans="2:68" ht="14.25" hidden="1" customHeight="1">
      <c r="B222" s="481"/>
      <c r="C222" s="482"/>
      <c r="D222" s="482"/>
      <c r="E222" s="482"/>
      <c r="F222" s="482"/>
      <c r="G222" s="482"/>
      <c r="H222" s="482"/>
      <c r="I222" s="483"/>
      <c r="J222" s="483"/>
      <c r="K222" s="483"/>
      <c r="L222" s="482"/>
      <c r="M222" s="482"/>
      <c r="N222" s="482"/>
      <c r="O222" s="482"/>
      <c r="P222" s="482"/>
      <c r="Q222" s="482"/>
      <c r="R222" s="482"/>
      <c r="S222" s="482"/>
      <c r="T222" s="482"/>
      <c r="U222" s="482"/>
      <c r="V222" s="482"/>
      <c r="W222" s="482"/>
      <c r="X222" s="482"/>
      <c r="Y222" s="482"/>
      <c r="Z222" s="482"/>
      <c r="AA222" s="481"/>
      <c r="AB222" s="481"/>
      <c r="AC222" s="482"/>
      <c r="AD222" s="482"/>
      <c r="AE222" s="482"/>
      <c r="AF222" s="481"/>
      <c r="AG222" s="482"/>
      <c r="AH222" s="482"/>
      <c r="AI222" s="482"/>
      <c r="AJ222" s="481"/>
      <c r="AK222" s="481"/>
      <c r="AL222" s="481"/>
      <c r="AM222" s="482"/>
      <c r="AN222" s="487"/>
      <c r="AO222" s="490"/>
      <c r="AP222" s="485"/>
      <c r="AQ222" s="482"/>
      <c r="AR222" s="482"/>
      <c r="AS222" s="482"/>
      <c r="AT222" s="482"/>
      <c r="AU222" s="482"/>
      <c r="AV222" s="482"/>
      <c r="AW222" s="482"/>
      <c r="AX222" s="482"/>
      <c r="AY222" s="481"/>
      <c r="AZ222" s="482"/>
      <c r="BA222" s="482"/>
      <c r="BB222" s="482"/>
      <c r="BC222" s="482"/>
      <c r="BD222" s="482"/>
      <c r="BE222" s="482"/>
      <c r="BF222" s="482"/>
      <c r="BG222" s="482"/>
      <c r="BH222" s="481"/>
      <c r="BI222" s="482"/>
      <c r="BJ222" s="482"/>
      <c r="BK222" s="482"/>
      <c r="BL222" s="481"/>
      <c r="BM222" s="481"/>
      <c r="BN222" s="481"/>
      <c r="BO222" s="482"/>
      <c r="BP222" s="482"/>
    </row>
    <row r="223" spans="2:68" ht="14.25" hidden="1" customHeight="1">
      <c r="B223" s="481"/>
      <c r="C223" s="482"/>
      <c r="D223" s="482"/>
      <c r="E223" s="482"/>
      <c r="F223" s="482"/>
      <c r="G223" s="482"/>
      <c r="H223" s="482"/>
      <c r="I223" s="483"/>
      <c r="J223" s="483"/>
      <c r="K223" s="483"/>
      <c r="L223" s="482"/>
      <c r="M223" s="482"/>
      <c r="N223" s="482"/>
      <c r="O223" s="482"/>
      <c r="P223" s="482"/>
      <c r="Q223" s="482"/>
      <c r="R223" s="482"/>
      <c r="S223" s="482"/>
      <c r="T223" s="482"/>
      <c r="U223" s="482"/>
      <c r="V223" s="482"/>
      <c r="W223" s="482"/>
      <c r="X223" s="482"/>
      <c r="Y223" s="482"/>
      <c r="Z223" s="482"/>
      <c r="AA223" s="481"/>
      <c r="AB223" s="481"/>
      <c r="AC223" s="482"/>
      <c r="AD223" s="482"/>
      <c r="AE223" s="482"/>
      <c r="AF223" s="481"/>
      <c r="AG223" s="482"/>
      <c r="AH223" s="482"/>
      <c r="AI223" s="482"/>
      <c r="AJ223" s="481"/>
      <c r="AK223" s="481"/>
      <c r="AL223" s="481"/>
      <c r="AM223" s="482"/>
      <c r="AN223" s="487"/>
      <c r="AO223" s="490"/>
      <c r="AP223" s="485"/>
      <c r="AQ223" s="482"/>
      <c r="AR223" s="482"/>
      <c r="AS223" s="482"/>
      <c r="AT223" s="482"/>
      <c r="AU223" s="482"/>
      <c r="AV223" s="482"/>
      <c r="AW223" s="482"/>
      <c r="AX223" s="482"/>
      <c r="AY223" s="481"/>
      <c r="AZ223" s="482"/>
      <c r="BA223" s="482"/>
      <c r="BB223" s="482"/>
      <c r="BC223" s="482"/>
      <c r="BD223" s="482"/>
      <c r="BE223" s="482"/>
      <c r="BF223" s="482"/>
      <c r="BG223" s="482"/>
      <c r="BH223" s="481"/>
      <c r="BI223" s="482"/>
      <c r="BJ223" s="482"/>
      <c r="BK223" s="482"/>
      <c r="BL223" s="481"/>
      <c r="BM223" s="481"/>
      <c r="BN223" s="481"/>
      <c r="BO223" s="482"/>
      <c r="BP223" s="482"/>
    </row>
    <row r="224" spans="2:68" ht="14.25" hidden="1" customHeight="1">
      <c r="B224" s="481"/>
      <c r="C224" s="482"/>
      <c r="D224" s="482"/>
      <c r="E224" s="482"/>
      <c r="F224" s="482"/>
      <c r="G224" s="482"/>
      <c r="H224" s="482"/>
      <c r="I224" s="483"/>
      <c r="J224" s="483"/>
      <c r="K224" s="483"/>
      <c r="L224" s="482"/>
      <c r="M224" s="482"/>
      <c r="N224" s="482"/>
      <c r="O224" s="482"/>
      <c r="P224" s="482"/>
      <c r="Q224" s="482"/>
      <c r="R224" s="482"/>
      <c r="S224" s="482"/>
      <c r="T224" s="482"/>
      <c r="U224" s="482"/>
      <c r="V224" s="482"/>
      <c r="W224" s="482"/>
      <c r="X224" s="482"/>
      <c r="Y224" s="482"/>
      <c r="Z224" s="482"/>
      <c r="AA224" s="481"/>
      <c r="AB224" s="481"/>
      <c r="AC224" s="482"/>
      <c r="AD224" s="482"/>
      <c r="AE224" s="482"/>
      <c r="AF224" s="481"/>
      <c r="AG224" s="482"/>
      <c r="AH224" s="482"/>
      <c r="AI224" s="482"/>
      <c r="AJ224" s="481"/>
      <c r="AK224" s="481"/>
      <c r="AL224" s="481"/>
      <c r="AM224" s="482"/>
      <c r="AN224" s="487"/>
      <c r="AO224" s="490"/>
      <c r="AP224" s="485"/>
      <c r="AQ224" s="482"/>
      <c r="AR224" s="482"/>
      <c r="AS224" s="482"/>
      <c r="AT224" s="482"/>
      <c r="AU224" s="482"/>
      <c r="AV224" s="482"/>
      <c r="AW224" s="482"/>
      <c r="AX224" s="482"/>
      <c r="AY224" s="481"/>
      <c r="AZ224" s="482"/>
      <c r="BA224" s="482"/>
      <c r="BB224" s="482"/>
      <c r="BC224" s="482"/>
      <c r="BD224" s="482"/>
      <c r="BE224" s="482"/>
      <c r="BF224" s="482"/>
      <c r="BG224" s="482"/>
      <c r="BH224" s="481"/>
      <c r="BI224" s="482"/>
      <c r="BJ224" s="482"/>
      <c r="BK224" s="482"/>
      <c r="BL224" s="481"/>
      <c r="BM224" s="481"/>
      <c r="BN224" s="481"/>
      <c r="BO224" s="482"/>
      <c r="BP224" s="482"/>
    </row>
    <row r="225" spans="2:68" ht="14.25" hidden="1" customHeight="1">
      <c r="B225" s="481"/>
      <c r="C225" s="482"/>
      <c r="D225" s="482"/>
      <c r="E225" s="482"/>
      <c r="F225" s="482"/>
      <c r="G225" s="482"/>
      <c r="H225" s="482"/>
      <c r="I225" s="483"/>
      <c r="J225" s="483"/>
      <c r="K225" s="483"/>
      <c r="L225" s="482"/>
      <c r="M225" s="482"/>
      <c r="N225" s="482"/>
      <c r="O225" s="482"/>
      <c r="P225" s="482"/>
      <c r="Q225" s="482"/>
      <c r="R225" s="482"/>
      <c r="S225" s="482"/>
      <c r="T225" s="482"/>
      <c r="U225" s="482"/>
      <c r="V225" s="482"/>
      <c r="W225" s="482"/>
      <c r="X225" s="482"/>
      <c r="Y225" s="482"/>
      <c r="Z225" s="482"/>
      <c r="AA225" s="481"/>
      <c r="AB225" s="481"/>
      <c r="AC225" s="482"/>
      <c r="AD225" s="482"/>
      <c r="AE225" s="482"/>
      <c r="AF225" s="481"/>
      <c r="AG225" s="482"/>
      <c r="AH225" s="482"/>
      <c r="AI225" s="482"/>
      <c r="AJ225" s="481"/>
      <c r="AK225" s="481"/>
      <c r="AL225" s="481"/>
      <c r="AM225" s="482"/>
      <c r="AN225" s="487"/>
      <c r="AO225" s="490"/>
      <c r="AP225" s="485"/>
      <c r="AQ225" s="482"/>
      <c r="AR225" s="482"/>
      <c r="AS225" s="482"/>
      <c r="AT225" s="482"/>
      <c r="AU225" s="482"/>
      <c r="AV225" s="482"/>
      <c r="AW225" s="482"/>
      <c r="AX225" s="482"/>
      <c r="AY225" s="481"/>
      <c r="AZ225" s="482"/>
      <c r="BA225" s="482"/>
      <c r="BB225" s="482"/>
      <c r="BC225" s="482"/>
      <c r="BD225" s="482"/>
      <c r="BE225" s="482"/>
      <c r="BF225" s="482"/>
      <c r="BG225" s="482"/>
      <c r="BH225" s="481"/>
      <c r="BI225" s="482"/>
      <c r="BJ225" s="482"/>
      <c r="BK225" s="482"/>
      <c r="BL225" s="481"/>
      <c r="BM225" s="481"/>
      <c r="BN225" s="481"/>
      <c r="BO225" s="482"/>
      <c r="BP225" s="482"/>
    </row>
    <row r="226" spans="2:68" ht="14.25" hidden="1" customHeight="1">
      <c r="B226" s="481"/>
      <c r="C226" s="482"/>
      <c r="D226" s="482"/>
      <c r="E226" s="482"/>
      <c r="F226" s="482"/>
      <c r="G226" s="482"/>
      <c r="H226" s="482"/>
      <c r="I226" s="483"/>
      <c r="J226" s="483"/>
      <c r="K226" s="483"/>
      <c r="L226" s="482"/>
      <c r="M226" s="482"/>
      <c r="N226" s="482"/>
      <c r="O226" s="482"/>
      <c r="P226" s="482"/>
      <c r="Q226" s="482"/>
      <c r="R226" s="482"/>
      <c r="S226" s="482"/>
      <c r="T226" s="482"/>
      <c r="U226" s="482"/>
      <c r="V226" s="482"/>
      <c r="W226" s="482"/>
      <c r="X226" s="482"/>
      <c r="Y226" s="482"/>
      <c r="Z226" s="482"/>
      <c r="AA226" s="481"/>
      <c r="AB226" s="481"/>
      <c r="AC226" s="482"/>
      <c r="AD226" s="482"/>
      <c r="AE226" s="482"/>
      <c r="AF226" s="481"/>
      <c r="AG226" s="482"/>
      <c r="AH226" s="482"/>
      <c r="AI226" s="482"/>
      <c r="AJ226" s="481"/>
      <c r="AK226" s="481"/>
      <c r="AL226" s="481"/>
      <c r="AM226" s="482"/>
      <c r="AN226" s="487"/>
      <c r="AO226" s="490"/>
      <c r="AP226" s="485"/>
      <c r="AQ226" s="482"/>
      <c r="AR226" s="482"/>
      <c r="AS226" s="482"/>
      <c r="AT226" s="482"/>
      <c r="AU226" s="482"/>
      <c r="AV226" s="482"/>
      <c r="AW226" s="482"/>
      <c r="AX226" s="482"/>
      <c r="AY226" s="481"/>
      <c r="AZ226" s="482"/>
      <c r="BA226" s="482"/>
      <c r="BB226" s="482"/>
      <c r="BC226" s="482"/>
      <c r="BD226" s="482"/>
      <c r="BE226" s="482"/>
      <c r="BF226" s="482"/>
      <c r="BG226" s="482"/>
      <c r="BH226" s="481"/>
      <c r="BI226" s="482"/>
      <c r="BJ226" s="482"/>
      <c r="BK226" s="482"/>
      <c r="BL226" s="481"/>
      <c r="BM226" s="481"/>
      <c r="BN226" s="481"/>
      <c r="BO226" s="482"/>
      <c r="BP226" s="482"/>
    </row>
    <row r="227" spans="2:68" ht="14.25" hidden="1" customHeight="1">
      <c r="B227" s="481"/>
      <c r="C227" s="482"/>
      <c r="D227" s="482"/>
      <c r="E227" s="482"/>
      <c r="F227" s="482"/>
      <c r="G227" s="482"/>
      <c r="H227" s="482"/>
      <c r="I227" s="483"/>
      <c r="J227" s="483"/>
      <c r="K227" s="483"/>
      <c r="L227" s="482"/>
      <c r="M227" s="482"/>
      <c r="N227" s="482"/>
      <c r="O227" s="482"/>
      <c r="P227" s="482"/>
      <c r="Q227" s="482"/>
      <c r="R227" s="482"/>
      <c r="S227" s="482"/>
      <c r="T227" s="482"/>
      <c r="U227" s="482"/>
      <c r="V227" s="482"/>
      <c r="W227" s="482"/>
      <c r="X227" s="482"/>
      <c r="Y227" s="482"/>
      <c r="Z227" s="482"/>
      <c r="AA227" s="481"/>
      <c r="AB227" s="481"/>
      <c r="AC227" s="482"/>
      <c r="AD227" s="482"/>
      <c r="AE227" s="482"/>
      <c r="AF227" s="481"/>
      <c r="AG227" s="482"/>
      <c r="AH227" s="482"/>
      <c r="AI227" s="482"/>
      <c r="AJ227" s="481"/>
      <c r="AK227" s="481"/>
      <c r="AL227" s="481"/>
      <c r="AM227" s="482"/>
      <c r="AN227" s="487"/>
      <c r="AO227" s="490"/>
      <c r="AP227" s="485"/>
      <c r="AQ227" s="482"/>
      <c r="AR227" s="482"/>
      <c r="AS227" s="482"/>
      <c r="AT227" s="482"/>
      <c r="AU227" s="482"/>
      <c r="AV227" s="482"/>
      <c r="AW227" s="482"/>
      <c r="AX227" s="482"/>
      <c r="AY227" s="481"/>
      <c r="AZ227" s="482"/>
      <c r="BA227" s="482"/>
      <c r="BB227" s="482"/>
      <c r="BC227" s="482"/>
      <c r="BD227" s="482"/>
      <c r="BE227" s="482"/>
      <c r="BF227" s="482"/>
      <c r="BG227" s="482"/>
      <c r="BH227" s="481"/>
      <c r="BI227" s="482"/>
      <c r="BJ227" s="482"/>
      <c r="BK227" s="482"/>
      <c r="BL227" s="481"/>
      <c r="BM227" s="481"/>
      <c r="BN227" s="481"/>
      <c r="BO227" s="482"/>
      <c r="BP227" s="482"/>
    </row>
    <row r="228" spans="2:68" ht="14.25" hidden="1" customHeight="1">
      <c r="B228" s="481"/>
      <c r="C228" s="482"/>
      <c r="D228" s="482"/>
      <c r="E228" s="482"/>
      <c r="F228" s="482"/>
      <c r="G228" s="482"/>
      <c r="H228" s="482"/>
      <c r="I228" s="483"/>
      <c r="J228" s="483"/>
      <c r="K228" s="483"/>
      <c r="L228" s="482"/>
      <c r="M228" s="482"/>
      <c r="N228" s="482"/>
      <c r="O228" s="482"/>
      <c r="P228" s="482"/>
      <c r="Q228" s="482"/>
      <c r="R228" s="482"/>
      <c r="S228" s="482"/>
      <c r="T228" s="482"/>
      <c r="U228" s="482"/>
      <c r="V228" s="482"/>
      <c r="W228" s="482"/>
      <c r="X228" s="482"/>
      <c r="Y228" s="482"/>
      <c r="Z228" s="482"/>
      <c r="AA228" s="481"/>
      <c r="AB228" s="481"/>
      <c r="AC228" s="482"/>
      <c r="AD228" s="482"/>
      <c r="AE228" s="482"/>
      <c r="AF228" s="481"/>
      <c r="AG228" s="482"/>
      <c r="AH228" s="482"/>
      <c r="AI228" s="482"/>
      <c r="AJ228" s="481"/>
      <c r="AK228" s="481"/>
      <c r="AL228" s="481"/>
      <c r="AM228" s="482"/>
      <c r="AN228" s="487"/>
      <c r="AO228" s="490"/>
      <c r="AP228" s="485"/>
      <c r="AQ228" s="482"/>
      <c r="AR228" s="482"/>
      <c r="AS228" s="482"/>
      <c r="AT228" s="482"/>
      <c r="AU228" s="482"/>
      <c r="AV228" s="482"/>
      <c r="AW228" s="482"/>
      <c r="AX228" s="482"/>
      <c r="AY228" s="481"/>
      <c r="AZ228" s="482"/>
      <c r="BA228" s="482"/>
      <c r="BB228" s="482"/>
      <c r="BC228" s="482"/>
      <c r="BD228" s="482"/>
      <c r="BE228" s="482"/>
      <c r="BF228" s="482"/>
      <c r="BG228" s="482"/>
      <c r="BH228" s="481"/>
      <c r="BI228" s="482"/>
      <c r="BJ228" s="482"/>
      <c r="BK228" s="482"/>
      <c r="BL228" s="481"/>
      <c r="BM228" s="481"/>
      <c r="BN228" s="481"/>
      <c r="BO228" s="482"/>
      <c r="BP228" s="482"/>
    </row>
    <row r="229" spans="2:68" ht="14.25" hidden="1" customHeight="1">
      <c r="B229" s="481"/>
      <c r="C229" s="482"/>
      <c r="D229" s="482"/>
      <c r="E229" s="482"/>
      <c r="F229" s="482"/>
      <c r="G229" s="482"/>
      <c r="H229" s="482"/>
      <c r="I229" s="483"/>
      <c r="J229" s="483"/>
      <c r="K229" s="483"/>
      <c r="L229" s="482"/>
      <c r="M229" s="482"/>
      <c r="N229" s="482"/>
      <c r="O229" s="482"/>
      <c r="P229" s="482"/>
      <c r="Q229" s="482"/>
      <c r="R229" s="482"/>
      <c r="S229" s="482"/>
      <c r="T229" s="482"/>
      <c r="U229" s="482"/>
      <c r="V229" s="482"/>
      <c r="W229" s="482"/>
      <c r="X229" s="482"/>
      <c r="Y229" s="482"/>
      <c r="Z229" s="482"/>
      <c r="AA229" s="481"/>
      <c r="AB229" s="481"/>
      <c r="AC229" s="482"/>
      <c r="AD229" s="482"/>
      <c r="AE229" s="482"/>
      <c r="AF229" s="481"/>
      <c r="AG229" s="482"/>
      <c r="AH229" s="482"/>
      <c r="AI229" s="482"/>
      <c r="AJ229" s="481"/>
      <c r="AK229" s="481"/>
      <c r="AL229" s="481"/>
      <c r="AM229" s="482"/>
      <c r="AN229" s="487"/>
      <c r="AO229" s="490"/>
      <c r="AP229" s="485"/>
      <c r="AQ229" s="482"/>
      <c r="AR229" s="482"/>
      <c r="AS229" s="482"/>
      <c r="AT229" s="482"/>
      <c r="AU229" s="482"/>
      <c r="AV229" s="482"/>
      <c r="AW229" s="482"/>
      <c r="AX229" s="482"/>
      <c r="AY229" s="481"/>
      <c r="AZ229" s="482"/>
      <c r="BA229" s="482"/>
      <c r="BB229" s="482"/>
      <c r="BC229" s="482"/>
      <c r="BD229" s="482"/>
      <c r="BE229" s="482"/>
      <c r="BF229" s="482"/>
      <c r="BG229" s="482"/>
      <c r="BH229" s="481"/>
      <c r="BI229" s="482"/>
      <c r="BJ229" s="482"/>
      <c r="BK229" s="482"/>
      <c r="BL229" s="481"/>
      <c r="BM229" s="481"/>
      <c r="BN229" s="481"/>
      <c r="BO229" s="482"/>
      <c r="BP229" s="482"/>
    </row>
    <row r="230" spans="2:68" ht="14.25" hidden="1" customHeight="1">
      <c r="B230" s="481"/>
      <c r="C230" s="482"/>
      <c r="D230" s="482"/>
      <c r="E230" s="482"/>
      <c r="F230" s="482"/>
      <c r="G230" s="482"/>
      <c r="H230" s="482"/>
      <c r="I230" s="483"/>
      <c r="J230" s="483"/>
      <c r="K230" s="483"/>
      <c r="L230" s="482"/>
      <c r="M230" s="482"/>
      <c r="N230" s="482"/>
      <c r="O230" s="482"/>
      <c r="P230" s="482"/>
      <c r="Q230" s="482"/>
      <c r="R230" s="482"/>
      <c r="S230" s="482"/>
      <c r="T230" s="482"/>
      <c r="U230" s="482"/>
      <c r="V230" s="482"/>
      <c r="W230" s="482"/>
      <c r="X230" s="482"/>
      <c r="Y230" s="482"/>
      <c r="Z230" s="482"/>
      <c r="AA230" s="481"/>
      <c r="AB230" s="481"/>
      <c r="AC230" s="482"/>
      <c r="AD230" s="482"/>
      <c r="AE230" s="482"/>
      <c r="AF230" s="481"/>
      <c r="AG230" s="482"/>
      <c r="AH230" s="482"/>
      <c r="AI230" s="482"/>
      <c r="AJ230" s="481"/>
      <c r="AK230" s="481"/>
      <c r="AL230" s="481"/>
      <c r="AM230" s="482"/>
      <c r="AN230" s="487"/>
      <c r="AO230" s="490"/>
      <c r="AP230" s="485"/>
      <c r="AQ230" s="482"/>
      <c r="AR230" s="482"/>
      <c r="AS230" s="482"/>
      <c r="AT230" s="482"/>
      <c r="AU230" s="482"/>
      <c r="AV230" s="482"/>
      <c r="AW230" s="482"/>
      <c r="AX230" s="482"/>
      <c r="AY230" s="481"/>
      <c r="AZ230" s="482"/>
      <c r="BA230" s="482"/>
      <c r="BB230" s="482"/>
      <c r="BC230" s="482"/>
      <c r="BD230" s="482"/>
      <c r="BE230" s="482"/>
      <c r="BF230" s="482"/>
      <c r="BG230" s="482"/>
      <c r="BH230" s="481"/>
      <c r="BI230" s="482"/>
      <c r="BJ230" s="482"/>
      <c r="BK230" s="482"/>
      <c r="BL230" s="481"/>
      <c r="BM230" s="481"/>
      <c r="BN230" s="481"/>
      <c r="BO230" s="482"/>
      <c r="BP230" s="482"/>
    </row>
    <row r="231" spans="2:68" ht="14.25" hidden="1" customHeight="1">
      <c r="B231" s="481"/>
      <c r="C231" s="482"/>
      <c r="D231" s="482"/>
      <c r="E231" s="482"/>
      <c r="F231" s="482"/>
      <c r="G231" s="482"/>
      <c r="H231" s="482"/>
      <c r="I231" s="483"/>
      <c r="J231" s="483"/>
      <c r="K231" s="483"/>
      <c r="L231" s="482"/>
      <c r="M231" s="482"/>
      <c r="N231" s="482"/>
      <c r="O231" s="482"/>
      <c r="P231" s="482"/>
      <c r="Q231" s="482"/>
      <c r="R231" s="482"/>
      <c r="S231" s="482"/>
      <c r="T231" s="482"/>
      <c r="U231" s="482"/>
      <c r="V231" s="482"/>
      <c r="W231" s="482"/>
      <c r="X231" s="482"/>
      <c r="Y231" s="482"/>
      <c r="Z231" s="482"/>
      <c r="AA231" s="481"/>
      <c r="AB231" s="481"/>
      <c r="AC231" s="482"/>
      <c r="AD231" s="482"/>
      <c r="AE231" s="482"/>
      <c r="AF231" s="481"/>
      <c r="AG231" s="482"/>
      <c r="AH231" s="482"/>
      <c r="AI231" s="482"/>
      <c r="AJ231" s="481"/>
      <c r="AK231" s="481"/>
      <c r="AL231" s="481"/>
      <c r="AM231" s="482"/>
      <c r="AN231" s="487"/>
      <c r="AO231" s="490"/>
      <c r="AP231" s="485"/>
      <c r="AQ231" s="482"/>
      <c r="AR231" s="482"/>
      <c r="AS231" s="482"/>
      <c r="AT231" s="482"/>
      <c r="AU231" s="482"/>
      <c r="AV231" s="482"/>
      <c r="AW231" s="482"/>
      <c r="AX231" s="482"/>
      <c r="AY231" s="481"/>
      <c r="AZ231" s="482"/>
      <c r="BA231" s="482"/>
      <c r="BB231" s="482"/>
      <c r="BC231" s="482"/>
      <c r="BD231" s="482"/>
      <c r="BE231" s="482"/>
      <c r="BF231" s="482"/>
      <c r="BG231" s="482"/>
      <c r="BH231" s="481"/>
      <c r="BI231" s="482"/>
      <c r="BJ231" s="482"/>
      <c r="BK231" s="482"/>
      <c r="BL231" s="481"/>
      <c r="BM231" s="481"/>
      <c r="BN231" s="481"/>
      <c r="BO231" s="482"/>
      <c r="BP231" s="482"/>
    </row>
    <row r="232" spans="2:68" ht="14.25" hidden="1" customHeight="1">
      <c r="B232" s="481"/>
      <c r="C232" s="482"/>
      <c r="D232" s="482"/>
      <c r="E232" s="482"/>
      <c r="F232" s="482"/>
      <c r="G232" s="482"/>
      <c r="H232" s="482"/>
      <c r="I232" s="483"/>
      <c r="J232" s="483"/>
      <c r="K232" s="483"/>
      <c r="L232" s="482"/>
      <c r="M232" s="482"/>
      <c r="N232" s="482"/>
      <c r="O232" s="482"/>
      <c r="P232" s="482"/>
      <c r="Q232" s="482"/>
      <c r="R232" s="482"/>
      <c r="S232" s="482"/>
      <c r="T232" s="482"/>
      <c r="U232" s="482"/>
      <c r="V232" s="482"/>
      <c r="W232" s="482"/>
      <c r="X232" s="482"/>
      <c r="Y232" s="482"/>
      <c r="Z232" s="482"/>
      <c r="AA232" s="481"/>
      <c r="AB232" s="481"/>
      <c r="AC232" s="482"/>
      <c r="AD232" s="482"/>
      <c r="AE232" s="482"/>
      <c r="AF232" s="481"/>
      <c r="AG232" s="482"/>
      <c r="AH232" s="482"/>
      <c r="AI232" s="482"/>
      <c r="AJ232" s="481"/>
      <c r="AK232" s="481"/>
      <c r="AL232" s="481"/>
      <c r="AM232" s="482"/>
      <c r="AN232" s="487"/>
      <c r="AO232" s="490"/>
      <c r="AP232" s="485"/>
      <c r="AQ232" s="482"/>
      <c r="AR232" s="482"/>
      <c r="AS232" s="482"/>
      <c r="AT232" s="482"/>
      <c r="AU232" s="482"/>
      <c r="AV232" s="482"/>
      <c r="AW232" s="482"/>
      <c r="AX232" s="482"/>
      <c r="AY232" s="481"/>
      <c r="AZ232" s="482"/>
      <c r="BA232" s="482"/>
      <c r="BB232" s="482"/>
      <c r="BC232" s="482"/>
      <c r="BD232" s="482"/>
      <c r="BE232" s="482"/>
      <c r="BF232" s="482"/>
      <c r="BG232" s="482"/>
      <c r="BH232" s="481"/>
      <c r="BI232" s="482"/>
      <c r="BJ232" s="482"/>
      <c r="BK232" s="482"/>
      <c r="BL232" s="481"/>
      <c r="BM232" s="481"/>
      <c r="BN232" s="481"/>
      <c r="BO232" s="482"/>
      <c r="BP232" s="482"/>
    </row>
    <row r="233" spans="2:68" ht="14.25" hidden="1" customHeight="1">
      <c r="B233" s="481"/>
      <c r="C233" s="482"/>
      <c r="D233" s="482"/>
      <c r="E233" s="482"/>
      <c r="F233" s="482"/>
      <c r="G233" s="482"/>
      <c r="H233" s="482"/>
      <c r="I233" s="483"/>
      <c r="J233" s="483"/>
      <c r="K233" s="483"/>
      <c r="L233" s="482"/>
      <c r="M233" s="482"/>
      <c r="N233" s="482"/>
      <c r="O233" s="482"/>
      <c r="P233" s="482"/>
      <c r="Q233" s="482"/>
      <c r="R233" s="482"/>
      <c r="S233" s="482"/>
      <c r="T233" s="482"/>
      <c r="U233" s="482"/>
      <c r="V233" s="482"/>
      <c r="W233" s="482"/>
      <c r="X233" s="482"/>
      <c r="Y233" s="482"/>
      <c r="Z233" s="482"/>
      <c r="AA233" s="481"/>
      <c r="AB233" s="481"/>
      <c r="AC233" s="482"/>
      <c r="AD233" s="482"/>
      <c r="AE233" s="482"/>
      <c r="AF233" s="481"/>
      <c r="AG233" s="482"/>
      <c r="AH233" s="482"/>
      <c r="AI233" s="482"/>
      <c r="AJ233" s="481"/>
      <c r="AK233" s="481"/>
      <c r="AL233" s="481"/>
      <c r="AM233" s="482"/>
      <c r="AN233" s="487"/>
      <c r="AO233" s="490"/>
      <c r="AP233" s="485"/>
      <c r="AQ233" s="482"/>
      <c r="AR233" s="482"/>
      <c r="AS233" s="482"/>
      <c r="AT233" s="482"/>
      <c r="AU233" s="482"/>
      <c r="AV233" s="482"/>
      <c r="AW233" s="482"/>
      <c r="AX233" s="482"/>
      <c r="AY233" s="481"/>
      <c r="AZ233" s="482"/>
      <c r="BA233" s="482"/>
      <c r="BB233" s="482"/>
      <c r="BC233" s="482"/>
      <c r="BD233" s="482"/>
      <c r="BE233" s="482"/>
      <c r="BF233" s="482"/>
      <c r="BG233" s="482"/>
      <c r="BH233" s="481"/>
      <c r="BI233" s="482"/>
      <c r="BJ233" s="482"/>
      <c r="BK233" s="482"/>
      <c r="BL233" s="481"/>
      <c r="BM233" s="481"/>
      <c r="BN233" s="481"/>
      <c r="BO233" s="482"/>
      <c r="BP233" s="482"/>
    </row>
    <row r="234" spans="2:68" ht="14.25" hidden="1" customHeight="1">
      <c r="B234" s="481"/>
      <c r="C234" s="482"/>
      <c r="D234" s="482"/>
      <c r="E234" s="482"/>
      <c r="F234" s="482"/>
      <c r="G234" s="482"/>
      <c r="H234" s="482"/>
      <c r="I234" s="483"/>
      <c r="J234" s="483"/>
      <c r="K234" s="483"/>
      <c r="L234" s="482"/>
      <c r="M234" s="482"/>
      <c r="N234" s="482"/>
      <c r="O234" s="482"/>
      <c r="P234" s="482"/>
      <c r="Q234" s="482"/>
      <c r="R234" s="482"/>
      <c r="S234" s="482"/>
      <c r="T234" s="482"/>
      <c r="U234" s="482"/>
      <c r="V234" s="482"/>
      <c r="W234" s="482"/>
      <c r="X234" s="482"/>
      <c r="Y234" s="482"/>
      <c r="Z234" s="482"/>
      <c r="AA234" s="481"/>
      <c r="AB234" s="481"/>
      <c r="AC234" s="482"/>
      <c r="AD234" s="482"/>
      <c r="AE234" s="482"/>
      <c r="AF234" s="481"/>
      <c r="AG234" s="482"/>
      <c r="AH234" s="482"/>
      <c r="AI234" s="482"/>
      <c r="AJ234" s="481"/>
      <c r="AK234" s="481"/>
      <c r="AL234" s="481"/>
      <c r="AM234" s="482"/>
      <c r="AN234" s="487"/>
      <c r="AO234" s="490"/>
      <c r="AP234" s="485"/>
      <c r="AQ234" s="482"/>
      <c r="AR234" s="482"/>
      <c r="AS234" s="482"/>
      <c r="AT234" s="482"/>
      <c r="AU234" s="482"/>
      <c r="AV234" s="482"/>
      <c r="AW234" s="482"/>
      <c r="AX234" s="482"/>
      <c r="AY234" s="481"/>
      <c r="AZ234" s="482"/>
      <c r="BA234" s="482"/>
      <c r="BB234" s="482"/>
      <c r="BC234" s="482"/>
      <c r="BD234" s="482"/>
      <c r="BE234" s="482"/>
      <c r="BF234" s="482"/>
      <c r="BG234" s="482"/>
      <c r="BH234" s="481"/>
      <c r="BI234" s="482"/>
      <c r="BJ234" s="482"/>
      <c r="BK234" s="482"/>
      <c r="BL234" s="481"/>
      <c r="BM234" s="481"/>
      <c r="BN234" s="481"/>
      <c r="BO234" s="482"/>
      <c r="BP234" s="482"/>
    </row>
    <row r="235" spans="2:68" ht="14.25" hidden="1" customHeight="1">
      <c r="B235" s="481"/>
      <c r="C235" s="482"/>
      <c r="D235" s="482"/>
      <c r="E235" s="482"/>
      <c r="F235" s="482"/>
      <c r="G235" s="482"/>
      <c r="H235" s="482"/>
      <c r="I235" s="483"/>
      <c r="J235" s="483"/>
      <c r="K235" s="483"/>
      <c r="L235" s="482"/>
      <c r="M235" s="482"/>
      <c r="N235" s="482"/>
      <c r="O235" s="482"/>
      <c r="P235" s="482"/>
      <c r="Q235" s="482"/>
      <c r="R235" s="482"/>
      <c r="S235" s="482"/>
      <c r="T235" s="482"/>
      <c r="U235" s="482"/>
      <c r="V235" s="482"/>
      <c r="W235" s="482"/>
      <c r="X235" s="482"/>
      <c r="Y235" s="482"/>
      <c r="Z235" s="482"/>
      <c r="AA235" s="481"/>
      <c r="AB235" s="481"/>
      <c r="AC235" s="482"/>
      <c r="AD235" s="482"/>
      <c r="AE235" s="482"/>
      <c r="AF235" s="481"/>
      <c r="AG235" s="482"/>
      <c r="AH235" s="482"/>
      <c r="AI235" s="482"/>
      <c r="AJ235" s="481"/>
      <c r="AK235" s="481"/>
      <c r="AL235" s="481"/>
      <c r="AM235" s="482"/>
      <c r="AN235" s="487"/>
      <c r="AO235" s="490"/>
      <c r="AP235" s="485"/>
      <c r="AQ235" s="482"/>
      <c r="AR235" s="482"/>
      <c r="AS235" s="482"/>
      <c r="AT235" s="482"/>
      <c r="AU235" s="482"/>
      <c r="AV235" s="482"/>
      <c r="AW235" s="482"/>
      <c r="AX235" s="482"/>
      <c r="AY235" s="481"/>
      <c r="AZ235" s="482"/>
      <c r="BA235" s="482"/>
      <c r="BB235" s="482"/>
      <c r="BC235" s="482"/>
      <c r="BD235" s="482"/>
      <c r="BE235" s="482"/>
      <c r="BF235" s="482"/>
      <c r="BG235" s="482"/>
      <c r="BH235" s="481"/>
      <c r="BI235" s="482"/>
      <c r="BJ235" s="482"/>
      <c r="BK235" s="482"/>
      <c r="BL235" s="481"/>
      <c r="BM235" s="481"/>
      <c r="BN235" s="481"/>
      <c r="BO235" s="482"/>
      <c r="BP235" s="482"/>
    </row>
    <row r="236" spans="2:68" ht="14.25" hidden="1" customHeight="1">
      <c r="B236" s="481"/>
      <c r="C236" s="482"/>
      <c r="D236" s="482"/>
      <c r="E236" s="482"/>
      <c r="F236" s="482"/>
      <c r="G236" s="482"/>
      <c r="H236" s="482"/>
      <c r="I236" s="483"/>
      <c r="J236" s="483"/>
      <c r="K236" s="483"/>
      <c r="L236" s="482"/>
      <c r="M236" s="482"/>
      <c r="N236" s="482"/>
      <c r="O236" s="482"/>
      <c r="P236" s="482"/>
      <c r="Q236" s="482"/>
      <c r="R236" s="482"/>
      <c r="S236" s="482"/>
      <c r="T236" s="482"/>
      <c r="U236" s="482"/>
      <c r="V236" s="482"/>
      <c r="W236" s="482"/>
      <c r="X236" s="482"/>
      <c r="Y236" s="482"/>
      <c r="Z236" s="482"/>
      <c r="AA236" s="481"/>
      <c r="AB236" s="481"/>
      <c r="AC236" s="482"/>
      <c r="AD236" s="482"/>
      <c r="AE236" s="482"/>
      <c r="AF236" s="481"/>
      <c r="AG236" s="482"/>
      <c r="AH236" s="482"/>
      <c r="AI236" s="482"/>
      <c r="AJ236" s="481"/>
      <c r="AK236" s="481"/>
      <c r="AL236" s="481"/>
      <c r="AM236" s="482"/>
      <c r="AN236" s="487"/>
      <c r="AO236" s="490"/>
      <c r="AP236" s="485"/>
      <c r="AQ236" s="482"/>
      <c r="AR236" s="482"/>
      <c r="AS236" s="482"/>
      <c r="AT236" s="482"/>
      <c r="AU236" s="482"/>
      <c r="AV236" s="482"/>
      <c r="AW236" s="482"/>
      <c r="AX236" s="482"/>
      <c r="AY236" s="481"/>
      <c r="AZ236" s="482"/>
      <c r="BA236" s="482"/>
      <c r="BB236" s="482"/>
      <c r="BC236" s="482"/>
      <c r="BD236" s="482"/>
      <c r="BE236" s="482"/>
      <c r="BF236" s="482"/>
      <c r="BG236" s="482"/>
      <c r="BH236" s="481"/>
      <c r="BI236" s="482"/>
      <c r="BJ236" s="482"/>
      <c r="BK236" s="482"/>
      <c r="BL236" s="481"/>
      <c r="BM236" s="481"/>
      <c r="BN236" s="481"/>
      <c r="BO236" s="482"/>
      <c r="BP236" s="482"/>
    </row>
    <row r="237" spans="2:68" ht="14.25" hidden="1" customHeight="1">
      <c r="B237" s="481"/>
      <c r="C237" s="482"/>
      <c r="D237" s="482"/>
      <c r="E237" s="482"/>
      <c r="F237" s="482"/>
      <c r="G237" s="482"/>
      <c r="H237" s="482"/>
      <c r="I237" s="483"/>
      <c r="J237" s="483"/>
      <c r="K237" s="483"/>
      <c r="L237" s="482"/>
      <c r="M237" s="482"/>
      <c r="N237" s="482"/>
      <c r="O237" s="482"/>
      <c r="P237" s="482"/>
      <c r="Q237" s="482"/>
      <c r="R237" s="482"/>
      <c r="S237" s="482"/>
      <c r="T237" s="482"/>
      <c r="U237" s="482"/>
      <c r="V237" s="482"/>
      <c r="W237" s="482"/>
      <c r="X237" s="482"/>
      <c r="Y237" s="482"/>
      <c r="Z237" s="482"/>
      <c r="AA237" s="481"/>
      <c r="AB237" s="481"/>
      <c r="AC237" s="482"/>
      <c r="AD237" s="482"/>
      <c r="AE237" s="482"/>
      <c r="AF237" s="481"/>
      <c r="AG237" s="482"/>
      <c r="AH237" s="482"/>
      <c r="AI237" s="482"/>
      <c r="AJ237" s="481"/>
      <c r="AK237" s="481"/>
      <c r="AL237" s="481"/>
      <c r="AM237" s="482"/>
      <c r="AN237" s="487"/>
      <c r="AO237" s="490"/>
      <c r="AP237" s="485"/>
      <c r="AQ237" s="482"/>
      <c r="AR237" s="482"/>
      <c r="AS237" s="482"/>
      <c r="AT237" s="482"/>
      <c r="AU237" s="482"/>
      <c r="AV237" s="482"/>
      <c r="AW237" s="482"/>
      <c r="AX237" s="482"/>
      <c r="AY237" s="481"/>
      <c r="AZ237" s="482"/>
      <c r="BA237" s="482"/>
      <c r="BB237" s="482"/>
      <c r="BC237" s="482"/>
      <c r="BD237" s="482"/>
      <c r="BE237" s="482"/>
      <c r="BF237" s="482"/>
      <c r="BG237" s="482"/>
      <c r="BH237" s="481"/>
      <c r="BI237" s="482"/>
      <c r="BJ237" s="482"/>
      <c r="BK237" s="482"/>
      <c r="BL237" s="481"/>
      <c r="BM237" s="481"/>
      <c r="BN237" s="481"/>
      <c r="BO237" s="482"/>
      <c r="BP237" s="482"/>
    </row>
    <row r="238" spans="2:68" ht="14.25" hidden="1" customHeight="1">
      <c r="B238" s="481"/>
      <c r="C238" s="482"/>
      <c r="D238" s="482"/>
      <c r="E238" s="482"/>
      <c r="F238" s="482"/>
      <c r="G238" s="482"/>
      <c r="H238" s="482"/>
      <c r="I238" s="483"/>
      <c r="J238" s="483"/>
      <c r="K238" s="483"/>
      <c r="L238" s="482"/>
      <c r="M238" s="482"/>
      <c r="N238" s="482"/>
      <c r="O238" s="482"/>
      <c r="P238" s="482"/>
      <c r="Q238" s="482"/>
      <c r="R238" s="482"/>
      <c r="S238" s="482"/>
      <c r="T238" s="482"/>
      <c r="U238" s="482"/>
      <c r="V238" s="482"/>
      <c r="W238" s="482"/>
      <c r="X238" s="482"/>
      <c r="Y238" s="482"/>
      <c r="Z238" s="482"/>
      <c r="AA238" s="481"/>
      <c r="AB238" s="481"/>
      <c r="AC238" s="482"/>
      <c r="AD238" s="482"/>
      <c r="AE238" s="482"/>
      <c r="AF238" s="481"/>
      <c r="AG238" s="482"/>
      <c r="AH238" s="482"/>
      <c r="AI238" s="482"/>
      <c r="AJ238" s="481"/>
      <c r="AK238" s="481"/>
      <c r="AL238" s="481"/>
      <c r="AM238" s="482"/>
      <c r="AN238" s="487"/>
      <c r="AO238" s="490"/>
      <c r="AP238" s="485"/>
      <c r="AQ238" s="482"/>
      <c r="AR238" s="482"/>
      <c r="AS238" s="482"/>
      <c r="AT238" s="482"/>
      <c r="AU238" s="482"/>
      <c r="AV238" s="482"/>
      <c r="AW238" s="482"/>
      <c r="AX238" s="482"/>
      <c r="AY238" s="481"/>
      <c r="AZ238" s="482"/>
      <c r="BA238" s="482"/>
      <c r="BB238" s="482"/>
      <c r="BC238" s="482"/>
      <c r="BD238" s="482"/>
      <c r="BE238" s="482"/>
      <c r="BF238" s="482"/>
      <c r="BG238" s="482"/>
      <c r="BH238" s="481"/>
      <c r="BI238" s="482"/>
      <c r="BJ238" s="482"/>
      <c r="BK238" s="482"/>
      <c r="BL238" s="481"/>
      <c r="BM238" s="481"/>
      <c r="BN238" s="481"/>
      <c r="BO238" s="482"/>
      <c r="BP238" s="482"/>
    </row>
    <row r="239" spans="2:68" ht="14.25" hidden="1" customHeight="1">
      <c r="B239" s="481"/>
      <c r="C239" s="482"/>
      <c r="D239" s="482"/>
      <c r="E239" s="482"/>
      <c r="F239" s="482"/>
      <c r="G239" s="482"/>
      <c r="H239" s="482"/>
      <c r="I239" s="483"/>
      <c r="J239" s="483"/>
      <c r="K239" s="483"/>
      <c r="L239" s="482"/>
      <c r="M239" s="482"/>
      <c r="N239" s="482"/>
      <c r="O239" s="482"/>
      <c r="P239" s="482"/>
      <c r="Q239" s="482"/>
      <c r="R239" s="482"/>
      <c r="S239" s="482"/>
      <c r="T239" s="482"/>
      <c r="U239" s="482"/>
      <c r="V239" s="482"/>
      <c r="W239" s="482"/>
      <c r="X239" s="482"/>
      <c r="Y239" s="482"/>
      <c r="Z239" s="482"/>
      <c r="AA239" s="481"/>
      <c r="AB239" s="481"/>
      <c r="AC239" s="482"/>
      <c r="AD239" s="482"/>
      <c r="AE239" s="482"/>
      <c r="AF239" s="481"/>
      <c r="AG239" s="482"/>
      <c r="AH239" s="482"/>
      <c r="AI239" s="482"/>
      <c r="AJ239" s="481"/>
      <c r="AK239" s="481"/>
      <c r="AL239" s="481"/>
      <c r="AM239" s="482"/>
      <c r="AN239" s="487"/>
      <c r="AO239" s="490"/>
      <c r="AP239" s="485"/>
      <c r="AQ239" s="482"/>
      <c r="AR239" s="482"/>
      <c r="AS239" s="482"/>
      <c r="AT239" s="482"/>
      <c r="AU239" s="482"/>
      <c r="AV239" s="482"/>
      <c r="AW239" s="482"/>
      <c r="AX239" s="482"/>
      <c r="AY239" s="481"/>
      <c r="AZ239" s="482"/>
      <c r="BA239" s="482"/>
      <c r="BB239" s="482"/>
      <c r="BC239" s="482"/>
      <c r="BD239" s="482"/>
      <c r="BE239" s="482"/>
      <c r="BF239" s="482"/>
      <c r="BG239" s="482"/>
      <c r="BH239" s="481"/>
      <c r="BI239" s="482"/>
      <c r="BJ239" s="482"/>
      <c r="BK239" s="482"/>
      <c r="BL239" s="481"/>
      <c r="BM239" s="481"/>
      <c r="BN239" s="481"/>
      <c r="BO239" s="482"/>
      <c r="BP239" s="482"/>
    </row>
    <row r="240" spans="2:68" ht="14.25" hidden="1" customHeight="1">
      <c r="B240" s="481"/>
      <c r="C240" s="482"/>
      <c r="D240" s="482"/>
      <c r="E240" s="482"/>
      <c r="F240" s="482"/>
      <c r="G240" s="482"/>
      <c r="H240" s="482"/>
      <c r="I240" s="483"/>
      <c r="J240" s="483"/>
      <c r="K240" s="483"/>
      <c r="L240" s="482"/>
      <c r="M240" s="482"/>
      <c r="N240" s="482"/>
      <c r="O240" s="482"/>
      <c r="P240" s="482"/>
      <c r="Q240" s="482"/>
      <c r="R240" s="482"/>
      <c r="S240" s="482"/>
      <c r="T240" s="482"/>
      <c r="U240" s="482"/>
      <c r="V240" s="482"/>
      <c r="W240" s="482"/>
      <c r="X240" s="482"/>
      <c r="Y240" s="482"/>
      <c r="Z240" s="482"/>
      <c r="AA240" s="481"/>
      <c r="AB240" s="481"/>
      <c r="AC240" s="482"/>
      <c r="AD240" s="482"/>
      <c r="AE240" s="482"/>
      <c r="AF240" s="481"/>
      <c r="AG240" s="482"/>
      <c r="AH240" s="482"/>
      <c r="AI240" s="482"/>
      <c r="AJ240" s="481"/>
      <c r="AK240" s="481"/>
      <c r="AL240" s="481"/>
      <c r="AM240" s="482"/>
      <c r="AN240" s="487"/>
      <c r="AO240" s="490"/>
      <c r="AP240" s="485"/>
      <c r="AQ240" s="482"/>
      <c r="AR240" s="482"/>
      <c r="AS240" s="482"/>
      <c r="AT240" s="482"/>
      <c r="AU240" s="482"/>
      <c r="AV240" s="482"/>
      <c r="AW240" s="482"/>
      <c r="AX240" s="482"/>
      <c r="AY240" s="481"/>
      <c r="AZ240" s="482"/>
      <c r="BA240" s="482"/>
      <c r="BB240" s="482"/>
      <c r="BC240" s="482"/>
      <c r="BD240" s="482"/>
      <c r="BE240" s="482"/>
      <c r="BF240" s="482"/>
      <c r="BG240" s="482"/>
      <c r="BH240" s="481"/>
      <c r="BI240" s="482"/>
      <c r="BJ240" s="482"/>
      <c r="BK240" s="482"/>
      <c r="BL240" s="481"/>
      <c r="BM240" s="481"/>
      <c r="BN240" s="481"/>
      <c r="BO240" s="482"/>
      <c r="BP240" s="482"/>
    </row>
    <row r="241" spans="2:68" ht="14.25" hidden="1" customHeight="1">
      <c r="B241" s="481"/>
      <c r="C241" s="482"/>
      <c r="D241" s="482"/>
      <c r="E241" s="482"/>
      <c r="F241" s="482"/>
      <c r="G241" s="482"/>
      <c r="H241" s="482"/>
      <c r="I241" s="483"/>
      <c r="J241" s="483"/>
      <c r="K241" s="483"/>
      <c r="L241" s="482"/>
      <c r="M241" s="482"/>
      <c r="N241" s="482"/>
      <c r="O241" s="482"/>
      <c r="P241" s="482"/>
      <c r="Q241" s="482"/>
      <c r="R241" s="482"/>
      <c r="S241" s="482"/>
      <c r="T241" s="482"/>
      <c r="U241" s="482"/>
      <c r="V241" s="482"/>
      <c r="W241" s="482"/>
      <c r="X241" s="482"/>
      <c r="Y241" s="482"/>
      <c r="Z241" s="482"/>
      <c r="AA241" s="481"/>
      <c r="AB241" s="481"/>
      <c r="AC241" s="482"/>
      <c r="AD241" s="482"/>
      <c r="AE241" s="482"/>
      <c r="AF241" s="481"/>
      <c r="AG241" s="482"/>
      <c r="AH241" s="482"/>
      <c r="AI241" s="482"/>
      <c r="AJ241" s="481"/>
      <c r="AK241" s="481"/>
      <c r="AL241" s="481"/>
      <c r="AM241" s="482"/>
      <c r="AN241" s="487"/>
      <c r="AO241" s="490"/>
      <c r="AP241" s="485"/>
      <c r="AQ241" s="482"/>
      <c r="AR241" s="482"/>
      <c r="AS241" s="482"/>
      <c r="AT241" s="482"/>
      <c r="AU241" s="482"/>
      <c r="AV241" s="482"/>
      <c r="AW241" s="482"/>
      <c r="AX241" s="482"/>
      <c r="AY241" s="481"/>
      <c r="AZ241" s="482"/>
      <c r="BA241" s="482"/>
      <c r="BB241" s="482"/>
      <c r="BC241" s="482"/>
      <c r="BD241" s="482"/>
      <c r="BE241" s="482"/>
      <c r="BF241" s="482"/>
      <c r="BG241" s="482"/>
      <c r="BH241" s="481"/>
      <c r="BI241" s="482"/>
      <c r="BJ241" s="482"/>
      <c r="BK241" s="482"/>
      <c r="BL241" s="481"/>
      <c r="BM241" s="481"/>
      <c r="BN241" s="481"/>
      <c r="BO241" s="482"/>
      <c r="BP241" s="482"/>
    </row>
    <row r="242" spans="2:68" ht="14.25" hidden="1" customHeight="1">
      <c r="B242" s="481"/>
      <c r="C242" s="482"/>
      <c r="D242" s="482"/>
      <c r="E242" s="482"/>
      <c r="F242" s="482"/>
      <c r="G242" s="482"/>
      <c r="H242" s="482"/>
      <c r="I242" s="483"/>
      <c r="J242" s="483"/>
      <c r="K242" s="483"/>
      <c r="L242" s="482"/>
      <c r="M242" s="482"/>
      <c r="N242" s="482"/>
      <c r="O242" s="482"/>
      <c r="P242" s="482"/>
      <c r="Q242" s="482"/>
      <c r="R242" s="482"/>
      <c r="S242" s="482"/>
      <c r="T242" s="482"/>
      <c r="U242" s="482"/>
      <c r="V242" s="482"/>
      <c r="W242" s="482"/>
      <c r="X242" s="482"/>
      <c r="Y242" s="482"/>
      <c r="Z242" s="482"/>
      <c r="AA242" s="481"/>
      <c r="AB242" s="481"/>
      <c r="AC242" s="482"/>
      <c r="AD242" s="482"/>
      <c r="AE242" s="482"/>
      <c r="AF242" s="481"/>
      <c r="AG242" s="482"/>
      <c r="AH242" s="482"/>
      <c r="AI242" s="482"/>
      <c r="AJ242" s="481"/>
      <c r="AK242" s="481"/>
      <c r="AL242" s="481"/>
      <c r="AM242" s="482"/>
      <c r="AN242" s="487"/>
      <c r="AO242" s="490"/>
      <c r="AP242" s="485"/>
      <c r="AQ242" s="482"/>
      <c r="AR242" s="482"/>
      <c r="AS242" s="482"/>
      <c r="AT242" s="482"/>
      <c r="AU242" s="482"/>
      <c r="AV242" s="482"/>
      <c r="AW242" s="482"/>
      <c r="AX242" s="482"/>
      <c r="AY242" s="481"/>
      <c r="AZ242" s="482"/>
      <c r="BA242" s="482"/>
      <c r="BB242" s="482"/>
      <c r="BC242" s="482"/>
      <c r="BD242" s="482"/>
      <c r="BE242" s="482"/>
      <c r="BF242" s="482"/>
      <c r="BG242" s="482"/>
      <c r="BH242" s="481"/>
      <c r="BI242" s="482"/>
      <c r="BJ242" s="482"/>
      <c r="BK242" s="482"/>
      <c r="BL242" s="481"/>
      <c r="BM242" s="481"/>
      <c r="BN242" s="481"/>
      <c r="BO242" s="482"/>
      <c r="BP242" s="482"/>
    </row>
    <row r="243" spans="2:68" ht="14.25" hidden="1" customHeight="1">
      <c r="B243" s="481"/>
      <c r="C243" s="482"/>
      <c r="D243" s="482"/>
      <c r="E243" s="482"/>
      <c r="F243" s="482"/>
      <c r="G243" s="482"/>
      <c r="H243" s="482"/>
      <c r="I243" s="483"/>
      <c r="J243" s="483"/>
      <c r="K243" s="483"/>
      <c r="L243" s="482"/>
      <c r="M243" s="482"/>
      <c r="N243" s="482"/>
      <c r="O243" s="482"/>
      <c r="P243" s="482"/>
      <c r="Q243" s="482"/>
      <c r="R243" s="482"/>
      <c r="S243" s="482"/>
      <c r="T243" s="482"/>
      <c r="U243" s="482"/>
      <c r="V243" s="482"/>
      <c r="W243" s="482"/>
      <c r="X243" s="482"/>
      <c r="Y243" s="482"/>
      <c r="Z243" s="482"/>
      <c r="AA243" s="481"/>
      <c r="AB243" s="481"/>
      <c r="AC243" s="482"/>
      <c r="AD243" s="482"/>
      <c r="AE243" s="482"/>
      <c r="AF243" s="481"/>
      <c r="AG243" s="482"/>
      <c r="AH243" s="482"/>
      <c r="AI243" s="482"/>
      <c r="AJ243" s="481"/>
      <c r="AK243" s="481"/>
      <c r="AL243" s="481"/>
      <c r="AM243" s="482"/>
      <c r="AN243" s="487"/>
      <c r="AO243" s="490"/>
      <c r="AP243" s="485"/>
      <c r="AQ243" s="482"/>
      <c r="AR243" s="482"/>
      <c r="AS243" s="482"/>
      <c r="AT243" s="482"/>
      <c r="AU243" s="482"/>
      <c r="AV243" s="482"/>
      <c r="AW243" s="482"/>
      <c r="AX243" s="482"/>
      <c r="AY243" s="481"/>
      <c r="AZ243" s="482"/>
      <c r="BA243" s="482"/>
      <c r="BB243" s="482"/>
      <c r="BC243" s="482"/>
      <c r="BD243" s="482"/>
      <c r="BE243" s="482"/>
      <c r="BF243" s="482"/>
      <c r="BG243" s="482"/>
      <c r="BH243" s="481"/>
      <c r="BI243" s="482"/>
      <c r="BJ243" s="482"/>
      <c r="BK243" s="482"/>
      <c r="BL243" s="481"/>
      <c r="BM243" s="481"/>
      <c r="BN243" s="481"/>
      <c r="BO243" s="482"/>
      <c r="BP243" s="482"/>
    </row>
    <row r="244" spans="2:68" ht="14.25" hidden="1" customHeight="1">
      <c r="B244" s="481"/>
      <c r="C244" s="482"/>
      <c r="D244" s="482"/>
      <c r="E244" s="482"/>
      <c r="F244" s="482"/>
      <c r="G244" s="482"/>
      <c r="H244" s="482"/>
      <c r="I244" s="483"/>
      <c r="J244" s="483"/>
      <c r="K244" s="483"/>
      <c r="L244" s="482"/>
      <c r="M244" s="482"/>
      <c r="N244" s="482"/>
      <c r="O244" s="482"/>
      <c r="P244" s="482"/>
      <c r="Q244" s="482"/>
      <c r="R244" s="482"/>
      <c r="S244" s="482"/>
      <c r="T244" s="482"/>
      <c r="U244" s="482"/>
      <c r="V244" s="482"/>
      <c r="W244" s="482"/>
      <c r="X244" s="482"/>
      <c r="Y244" s="482"/>
      <c r="Z244" s="482"/>
      <c r="AA244" s="481"/>
      <c r="AB244" s="481"/>
      <c r="AC244" s="482"/>
      <c r="AD244" s="482"/>
      <c r="AE244" s="482"/>
      <c r="AF244" s="481"/>
      <c r="AG244" s="482"/>
      <c r="AH244" s="482"/>
      <c r="AI244" s="482"/>
      <c r="AJ244" s="481"/>
      <c r="AK244" s="481"/>
      <c r="AL244" s="481"/>
      <c r="AM244" s="482"/>
      <c r="AN244" s="487"/>
      <c r="AO244" s="490"/>
      <c r="AP244" s="485"/>
      <c r="AQ244" s="482"/>
      <c r="AR244" s="482"/>
      <c r="AS244" s="482"/>
      <c r="AT244" s="482"/>
      <c r="AU244" s="482"/>
      <c r="AV244" s="482"/>
      <c r="AW244" s="482"/>
      <c r="AX244" s="482"/>
      <c r="AY244" s="481"/>
      <c r="AZ244" s="482"/>
      <c r="BA244" s="482"/>
      <c r="BB244" s="482"/>
      <c r="BC244" s="482"/>
      <c r="BD244" s="482"/>
      <c r="BE244" s="482"/>
      <c r="BF244" s="482"/>
      <c r="BG244" s="482"/>
      <c r="BH244" s="481"/>
      <c r="BI244" s="482"/>
      <c r="BJ244" s="482"/>
      <c r="BK244" s="482"/>
      <c r="BL244" s="481"/>
      <c r="BM244" s="481"/>
      <c r="BN244" s="481"/>
      <c r="BO244" s="482"/>
      <c r="BP244" s="482"/>
    </row>
    <row r="245" spans="2:68" ht="14.25" hidden="1" customHeight="1">
      <c r="B245" s="481"/>
      <c r="C245" s="482"/>
      <c r="D245" s="482"/>
      <c r="E245" s="482"/>
      <c r="F245" s="482"/>
      <c r="G245" s="482"/>
      <c r="H245" s="482"/>
      <c r="I245" s="483"/>
      <c r="J245" s="483"/>
      <c r="K245" s="483"/>
      <c r="L245" s="482"/>
      <c r="M245" s="482"/>
      <c r="N245" s="482"/>
      <c r="O245" s="482"/>
      <c r="P245" s="482"/>
      <c r="Q245" s="482"/>
      <c r="R245" s="482"/>
      <c r="S245" s="482"/>
      <c r="T245" s="482"/>
      <c r="U245" s="482"/>
      <c r="V245" s="482"/>
      <c r="W245" s="482"/>
      <c r="X245" s="482"/>
      <c r="Y245" s="482"/>
      <c r="Z245" s="482"/>
      <c r="AA245" s="481"/>
      <c r="AB245" s="481"/>
      <c r="AC245" s="482"/>
      <c r="AD245" s="482"/>
      <c r="AE245" s="482"/>
      <c r="AF245" s="481"/>
      <c r="AG245" s="482"/>
      <c r="AH245" s="482"/>
      <c r="AI245" s="482"/>
      <c r="AJ245" s="481"/>
      <c r="AK245" s="481"/>
      <c r="AL245" s="481"/>
      <c r="AM245" s="482"/>
      <c r="AN245" s="487"/>
      <c r="AO245" s="490"/>
      <c r="AP245" s="485"/>
      <c r="AQ245" s="482"/>
      <c r="AR245" s="482"/>
      <c r="AS245" s="482"/>
      <c r="AT245" s="482"/>
      <c r="AU245" s="482"/>
      <c r="AV245" s="482"/>
      <c r="AW245" s="482"/>
      <c r="AX245" s="482"/>
      <c r="AY245" s="481"/>
      <c r="AZ245" s="482"/>
      <c r="BA245" s="482"/>
      <c r="BB245" s="482"/>
      <c r="BC245" s="482"/>
      <c r="BD245" s="482"/>
      <c r="BE245" s="482"/>
      <c r="BF245" s="482"/>
      <c r="BG245" s="482"/>
      <c r="BH245" s="481"/>
      <c r="BI245" s="482"/>
      <c r="BJ245" s="482"/>
      <c r="BK245" s="482"/>
      <c r="BL245" s="481"/>
      <c r="BM245" s="481"/>
      <c r="BN245" s="481"/>
      <c r="BO245" s="482"/>
      <c r="BP245" s="482"/>
    </row>
    <row r="246" spans="2:68" ht="14.25" hidden="1" customHeight="1">
      <c r="B246" s="481"/>
      <c r="C246" s="482"/>
      <c r="D246" s="482"/>
      <c r="E246" s="482"/>
      <c r="F246" s="482"/>
      <c r="G246" s="482"/>
      <c r="H246" s="482"/>
      <c r="I246" s="483"/>
      <c r="J246" s="483"/>
      <c r="K246" s="483"/>
      <c r="L246" s="482"/>
      <c r="M246" s="482"/>
      <c r="N246" s="482"/>
      <c r="O246" s="482"/>
      <c r="P246" s="482"/>
      <c r="Q246" s="482"/>
      <c r="R246" s="482"/>
      <c r="S246" s="482"/>
      <c r="T246" s="482"/>
      <c r="U246" s="482"/>
      <c r="V246" s="482"/>
      <c r="W246" s="482"/>
      <c r="X246" s="482"/>
      <c r="Y246" s="482"/>
      <c r="Z246" s="482"/>
      <c r="AA246" s="481"/>
      <c r="AB246" s="481"/>
      <c r="AC246" s="482"/>
      <c r="AD246" s="482"/>
      <c r="AE246" s="482"/>
      <c r="AF246" s="481"/>
      <c r="AG246" s="482"/>
      <c r="AH246" s="482"/>
      <c r="AI246" s="482"/>
      <c r="AJ246" s="481"/>
      <c r="AK246" s="481"/>
      <c r="AL246" s="481"/>
      <c r="AM246" s="482"/>
      <c r="AN246" s="487"/>
      <c r="AO246" s="490"/>
      <c r="AP246" s="485"/>
      <c r="AQ246" s="482"/>
      <c r="AR246" s="482"/>
      <c r="AS246" s="482"/>
      <c r="AT246" s="482"/>
      <c r="AU246" s="482"/>
      <c r="AV246" s="482"/>
      <c r="AW246" s="482"/>
      <c r="AX246" s="482"/>
      <c r="AY246" s="481"/>
      <c r="AZ246" s="482"/>
      <c r="BA246" s="482"/>
      <c r="BB246" s="482"/>
      <c r="BC246" s="482"/>
      <c r="BD246" s="482"/>
      <c r="BE246" s="482"/>
      <c r="BF246" s="482"/>
      <c r="BG246" s="482"/>
      <c r="BH246" s="481"/>
      <c r="BI246" s="482"/>
      <c r="BJ246" s="482"/>
      <c r="BK246" s="482"/>
      <c r="BL246" s="481"/>
      <c r="BM246" s="481"/>
      <c r="BN246" s="481"/>
      <c r="BO246" s="482"/>
      <c r="BP246" s="482"/>
    </row>
    <row r="247" spans="2:68" ht="14.25" hidden="1" customHeight="1">
      <c r="B247" s="481"/>
      <c r="C247" s="482"/>
      <c r="D247" s="482"/>
      <c r="E247" s="482"/>
      <c r="F247" s="482"/>
      <c r="G247" s="482"/>
      <c r="H247" s="482"/>
      <c r="I247" s="483"/>
      <c r="J247" s="483"/>
      <c r="K247" s="483"/>
      <c r="L247" s="482"/>
      <c r="M247" s="482"/>
      <c r="N247" s="482"/>
      <c r="O247" s="482"/>
      <c r="P247" s="482"/>
      <c r="Q247" s="482"/>
      <c r="R247" s="482"/>
      <c r="S247" s="482"/>
      <c r="T247" s="482"/>
      <c r="U247" s="482"/>
      <c r="V247" s="482"/>
      <c r="W247" s="482"/>
      <c r="X247" s="482"/>
      <c r="Y247" s="482"/>
      <c r="Z247" s="482"/>
      <c r="AA247" s="481"/>
      <c r="AB247" s="481"/>
      <c r="AC247" s="482"/>
      <c r="AD247" s="482"/>
      <c r="AE247" s="482"/>
      <c r="AF247" s="481"/>
      <c r="AG247" s="482"/>
      <c r="AH247" s="482"/>
      <c r="AI247" s="482"/>
      <c r="AJ247" s="481"/>
      <c r="AK247" s="481"/>
      <c r="AL247" s="481"/>
      <c r="AM247" s="482"/>
      <c r="AN247" s="487"/>
      <c r="AO247" s="490"/>
      <c r="AP247" s="485"/>
      <c r="AQ247" s="482"/>
      <c r="AR247" s="482"/>
      <c r="AS247" s="482"/>
      <c r="AT247" s="482"/>
      <c r="AU247" s="482"/>
      <c r="AV247" s="482"/>
      <c r="AW247" s="482"/>
      <c r="AX247" s="482"/>
      <c r="AY247" s="481"/>
      <c r="AZ247" s="482"/>
      <c r="BA247" s="482"/>
      <c r="BB247" s="482"/>
      <c r="BC247" s="482"/>
      <c r="BD247" s="482"/>
      <c r="BE247" s="482"/>
      <c r="BF247" s="482"/>
      <c r="BG247" s="482"/>
      <c r="BH247" s="481"/>
      <c r="BI247" s="482"/>
      <c r="BJ247" s="482"/>
      <c r="BK247" s="482"/>
      <c r="BL247" s="481"/>
      <c r="BM247" s="481"/>
      <c r="BN247" s="481"/>
      <c r="BO247" s="482"/>
      <c r="BP247" s="482"/>
    </row>
    <row r="248" spans="2:68" ht="14.25" hidden="1" customHeight="1">
      <c r="B248" s="481"/>
      <c r="C248" s="482"/>
      <c r="D248" s="482"/>
      <c r="E248" s="482"/>
      <c r="F248" s="482"/>
      <c r="G248" s="482"/>
      <c r="H248" s="482"/>
      <c r="I248" s="483"/>
      <c r="J248" s="483"/>
      <c r="K248" s="483"/>
      <c r="L248" s="482"/>
      <c r="M248" s="482"/>
      <c r="N248" s="482"/>
      <c r="O248" s="482"/>
      <c r="P248" s="482"/>
      <c r="Q248" s="482"/>
      <c r="R248" s="482"/>
      <c r="S248" s="482"/>
      <c r="T248" s="482"/>
      <c r="U248" s="482"/>
      <c r="V248" s="482"/>
      <c r="W248" s="482"/>
      <c r="X248" s="482"/>
      <c r="Y248" s="482"/>
      <c r="Z248" s="482"/>
      <c r="AA248" s="481"/>
      <c r="AB248" s="481"/>
      <c r="AC248" s="482"/>
      <c r="AD248" s="482"/>
      <c r="AE248" s="482"/>
      <c r="AF248" s="481"/>
      <c r="AG248" s="482"/>
      <c r="AH248" s="482"/>
      <c r="AI248" s="482"/>
      <c r="AJ248" s="481"/>
      <c r="AK248" s="481"/>
      <c r="AL248" s="481"/>
      <c r="AM248" s="482"/>
      <c r="AN248" s="487"/>
      <c r="AO248" s="490"/>
      <c r="AP248" s="485"/>
      <c r="AQ248" s="482"/>
      <c r="AR248" s="482"/>
      <c r="AS248" s="482"/>
      <c r="AT248" s="482"/>
      <c r="AU248" s="482"/>
      <c r="AV248" s="482"/>
      <c r="AW248" s="482"/>
      <c r="AX248" s="482"/>
      <c r="AY248" s="481"/>
      <c r="AZ248" s="482"/>
      <c r="BA248" s="482"/>
      <c r="BB248" s="482"/>
      <c r="BC248" s="482"/>
      <c r="BD248" s="482"/>
      <c r="BE248" s="482"/>
      <c r="BF248" s="482"/>
      <c r="BG248" s="482"/>
      <c r="BH248" s="481"/>
      <c r="BI248" s="482"/>
      <c r="BJ248" s="482"/>
      <c r="BK248" s="482"/>
      <c r="BL248" s="481"/>
      <c r="BM248" s="481"/>
      <c r="BN248" s="481"/>
      <c r="BO248" s="482"/>
      <c r="BP248" s="482"/>
    </row>
    <row r="249" spans="2:68" ht="14.25" hidden="1" customHeight="1">
      <c r="B249" s="481"/>
      <c r="C249" s="482"/>
      <c r="D249" s="482"/>
      <c r="E249" s="482"/>
      <c r="F249" s="482"/>
      <c r="G249" s="482"/>
      <c r="H249" s="482"/>
      <c r="I249" s="483"/>
      <c r="J249" s="483"/>
      <c r="K249" s="483"/>
      <c r="L249" s="482"/>
      <c r="M249" s="482"/>
      <c r="N249" s="482"/>
      <c r="O249" s="482"/>
      <c r="P249" s="482"/>
      <c r="Q249" s="482"/>
      <c r="R249" s="482"/>
      <c r="S249" s="482"/>
      <c r="T249" s="482"/>
      <c r="U249" s="482"/>
      <c r="V249" s="482"/>
      <c r="W249" s="482"/>
      <c r="X249" s="482"/>
      <c r="Y249" s="482"/>
      <c r="Z249" s="482"/>
      <c r="AA249" s="481"/>
      <c r="AB249" s="481"/>
      <c r="AC249" s="482"/>
      <c r="AD249" s="482"/>
      <c r="AE249" s="482"/>
      <c r="AF249" s="481"/>
      <c r="AG249" s="482"/>
      <c r="AH249" s="482"/>
      <c r="AI249" s="482"/>
      <c r="AJ249" s="481"/>
      <c r="AK249" s="481"/>
      <c r="AL249" s="481"/>
      <c r="AM249" s="482"/>
      <c r="AN249" s="487"/>
      <c r="AO249" s="490"/>
      <c r="AP249" s="485"/>
      <c r="AQ249" s="482"/>
      <c r="AR249" s="482"/>
      <c r="AS249" s="482"/>
      <c r="AT249" s="482"/>
      <c r="AU249" s="482"/>
      <c r="AV249" s="482"/>
      <c r="AW249" s="482"/>
      <c r="AX249" s="482"/>
      <c r="AY249" s="481"/>
      <c r="AZ249" s="482"/>
      <c r="BA249" s="482"/>
      <c r="BB249" s="482"/>
      <c r="BC249" s="482"/>
      <c r="BD249" s="482"/>
      <c r="BE249" s="482"/>
      <c r="BF249" s="482"/>
      <c r="BG249" s="482"/>
      <c r="BH249" s="481"/>
      <c r="BI249" s="482"/>
      <c r="BJ249" s="482"/>
      <c r="BK249" s="482"/>
      <c r="BL249" s="481"/>
      <c r="BM249" s="481"/>
      <c r="BN249" s="481"/>
      <c r="BO249" s="482"/>
      <c r="BP249" s="482"/>
    </row>
    <row r="250" spans="2:68" ht="14.25" hidden="1" customHeight="1">
      <c r="B250" s="481"/>
      <c r="C250" s="482"/>
      <c r="D250" s="482"/>
      <c r="E250" s="482"/>
      <c r="F250" s="482"/>
      <c r="G250" s="482"/>
      <c r="H250" s="482"/>
      <c r="I250" s="483"/>
      <c r="J250" s="483"/>
      <c r="K250" s="483"/>
      <c r="L250" s="482"/>
      <c r="M250" s="482"/>
      <c r="N250" s="482"/>
      <c r="O250" s="482"/>
      <c r="P250" s="482"/>
      <c r="Q250" s="482"/>
      <c r="R250" s="482"/>
      <c r="S250" s="482"/>
      <c r="T250" s="482"/>
      <c r="U250" s="482"/>
      <c r="V250" s="482"/>
      <c r="W250" s="482"/>
      <c r="X250" s="482"/>
      <c r="Y250" s="482"/>
      <c r="Z250" s="482"/>
      <c r="AA250" s="481"/>
      <c r="AB250" s="481"/>
      <c r="AC250" s="482"/>
      <c r="AD250" s="482"/>
      <c r="AE250" s="482"/>
      <c r="AF250" s="481"/>
      <c r="AG250" s="482"/>
      <c r="AH250" s="482"/>
      <c r="AI250" s="482"/>
      <c r="AJ250" s="481"/>
      <c r="AK250" s="481"/>
      <c r="AL250" s="481"/>
      <c r="AM250" s="482"/>
      <c r="AN250" s="487"/>
      <c r="AO250" s="490"/>
      <c r="AP250" s="485"/>
      <c r="AQ250" s="482"/>
      <c r="AR250" s="482"/>
      <c r="AS250" s="482"/>
      <c r="AT250" s="482"/>
      <c r="AU250" s="482"/>
      <c r="AV250" s="482"/>
      <c r="AW250" s="482"/>
      <c r="AX250" s="482"/>
      <c r="AY250" s="481"/>
      <c r="AZ250" s="482"/>
      <c r="BA250" s="482"/>
      <c r="BB250" s="482"/>
      <c r="BC250" s="482"/>
      <c r="BD250" s="482"/>
      <c r="BE250" s="482"/>
      <c r="BF250" s="482"/>
      <c r="BG250" s="482"/>
      <c r="BH250" s="481"/>
      <c r="BI250" s="482"/>
      <c r="BJ250" s="482"/>
      <c r="BK250" s="482"/>
      <c r="BL250" s="481"/>
      <c r="BM250" s="481"/>
      <c r="BN250" s="481"/>
      <c r="BO250" s="482"/>
      <c r="BP250" s="482"/>
    </row>
    <row r="251" spans="2:68" ht="14.25" hidden="1" customHeight="1">
      <c r="B251" s="481"/>
      <c r="C251" s="482"/>
      <c r="D251" s="482"/>
      <c r="E251" s="482"/>
      <c r="F251" s="482"/>
      <c r="G251" s="482"/>
      <c r="H251" s="482"/>
      <c r="I251" s="483"/>
      <c r="J251" s="483"/>
      <c r="K251" s="483"/>
      <c r="L251" s="482"/>
      <c r="M251" s="482"/>
      <c r="N251" s="482"/>
      <c r="O251" s="482"/>
      <c r="P251" s="482"/>
      <c r="Q251" s="482"/>
      <c r="R251" s="482"/>
      <c r="S251" s="482"/>
      <c r="T251" s="482"/>
      <c r="U251" s="482"/>
      <c r="V251" s="482"/>
      <c r="W251" s="482"/>
      <c r="X251" s="482"/>
      <c r="Y251" s="482"/>
      <c r="Z251" s="482"/>
      <c r="AA251" s="481"/>
      <c r="AB251" s="481"/>
      <c r="AC251" s="482"/>
      <c r="AD251" s="482"/>
      <c r="AE251" s="482"/>
      <c r="AF251" s="481"/>
      <c r="AG251" s="482"/>
      <c r="AH251" s="482"/>
      <c r="AI251" s="482"/>
      <c r="AJ251" s="481"/>
      <c r="AK251" s="481"/>
      <c r="AL251" s="481"/>
      <c r="AM251" s="482"/>
      <c r="AN251" s="487"/>
      <c r="AO251" s="490"/>
      <c r="AP251" s="485"/>
      <c r="AQ251" s="482"/>
      <c r="AR251" s="482"/>
      <c r="AS251" s="482"/>
      <c r="AT251" s="482"/>
      <c r="AU251" s="482"/>
      <c r="AV251" s="482"/>
      <c r="AW251" s="482"/>
      <c r="AX251" s="482"/>
      <c r="AY251" s="481"/>
      <c r="AZ251" s="482"/>
      <c r="BA251" s="482"/>
      <c r="BB251" s="482"/>
      <c r="BC251" s="482"/>
      <c r="BD251" s="482"/>
      <c r="BE251" s="482"/>
      <c r="BF251" s="482"/>
      <c r="BG251" s="482"/>
      <c r="BH251" s="481"/>
      <c r="BI251" s="482"/>
      <c r="BJ251" s="482"/>
      <c r="BK251" s="482"/>
      <c r="BL251" s="481"/>
      <c r="BM251" s="481"/>
      <c r="BN251" s="481"/>
      <c r="BO251" s="482"/>
      <c r="BP251" s="482"/>
    </row>
    <row r="252" spans="2:68" ht="14.25" hidden="1" customHeight="1">
      <c r="B252" s="481"/>
      <c r="C252" s="482"/>
      <c r="D252" s="482"/>
      <c r="E252" s="482"/>
      <c r="F252" s="482"/>
      <c r="G252" s="482"/>
      <c r="H252" s="482"/>
      <c r="I252" s="483"/>
      <c r="J252" s="483"/>
      <c r="K252" s="483"/>
      <c r="L252" s="482"/>
      <c r="M252" s="482"/>
      <c r="N252" s="482"/>
      <c r="O252" s="482"/>
      <c r="P252" s="482"/>
      <c r="Q252" s="482"/>
      <c r="R252" s="482"/>
      <c r="S252" s="482"/>
      <c r="T252" s="482"/>
      <c r="U252" s="482"/>
      <c r="V252" s="482"/>
      <c r="W252" s="482"/>
      <c r="X252" s="482"/>
      <c r="Y252" s="482"/>
      <c r="Z252" s="482"/>
      <c r="AA252" s="481"/>
      <c r="AB252" s="481"/>
      <c r="AC252" s="482"/>
      <c r="AD252" s="482"/>
      <c r="AE252" s="482"/>
      <c r="AF252" s="481"/>
      <c r="AG252" s="482"/>
      <c r="AH252" s="482"/>
      <c r="AI252" s="482"/>
      <c r="AJ252" s="481"/>
      <c r="AK252" s="481"/>
      <c r="AL252" s="481"/>
      <c r="AM252" s="482"/>
      <c r="AN252" s="487"/>
      <c r="AO252" s="490"/>
      <c r="AP252" s="485"/>
      <c r="AQ252" s="482"/>
      <c r="AR252" s="482"/>
      <c r="AS252" s="482"/>
      <c r="AT252" s="482"/>
      <c r="AU252" s="482"/>
      <c r="AV252" s="482"/>
      <c r="AW252" s="482"/>
      <c r="AX252" s="482"/>
      <c r="AY252" s="481"/>
      <c r="AZ252" s="482"/>
      <c r="BA252" s="482"/>
      <c r="BB252" s="482"/>
      <c r="BC252" s="482"/>
      <c r="BD252" s="482"/>
      <c r="BE252" s="482"/>
      <c r="BF252" s="482"/>
      <c r="BG252" s="482"/>
      <c r="BH252" s="481"/>
      <c r="BI252" s="482"/>
      <c r="BJ252" s="482"/>
      <c r="BK252" s="482"/>
      <c r="BL252" s="481"/>
      <c r="BM252" s="481"/>
      <c r="BN252" s="481"/>
      <c r="BO252" s="482"/>
      <c r="BP252" s="482"/>
    </row>
    <row r="253" spans="2:68" ht="14.25" hidden="1" customHeight="1">
      <c r="B253" s="481"/>
      <c r="C253" s="482"/>
      <c r="D253" s="482"/>
      <c r="E253" s="482"/>
      <c r="F253" s="482"/>
      <c r="G253" s="482"/>
      <c r="H253" s="482"/>
      <c r="I253" s="483"/>
      <c r="J253" s="483"/>
      <c r="K253" s="483"/>
      <c r="L253" s="482"/>
      <c r="M253" s="482"/>
      <c r="N253" s="482"/>
      <c r="O253" s="482"/>
      <c r="P253" s="482"/>
      <c r="Q253" s="482"/>
      <c r="R253" s="482"/>
      <c r="S253" s="482"/>
      <c r="T253" s="482"/>
      <c r="U253" s="482"/>
      <c r="V253" s="482"/>
      <c r="W253" s="482"/>
      <c r="X253" s="482"/>
      <c r="Y253" s="482"/>
      <c r="Z253" s="482"/>
      <c r="AA253" s="481"/>
      <c r="AB253" s="481"/>
      <c r="AC253" s="482"/>
      <c r="AD253" s="482"/>
      <c r="AE253" s="482"/>
      <c r="AF253" s="481"/>
      <c r="AG253" s="482"/>
      <c r="AH253" s="482"/>
      <c r="AI253" s="482"/>
      <c r="AJ253" s="481"/>
      <c r="AK253" s="481"/>
      <c r="AL253" s="481"/>
      <c r="AM253" s="482"/>
      <c r="AN253" s="487"/>
      <c r="AO253" s="490"/>
      <c r="AP253" s="485"/>
      <c r="AQ253" s="482"/>
      <c r="AR253" s="482"/>
      <c r="AS253" s="482"/>
      <c r="AT253" s="482"/>
      <c r="AU253" s="482"/>
      <c r="AV253" s="482"/>
      <c r="AW253" s="482"/>
      <c r="AX253" s="482"/>
      <c r="AY253" s="481"/>
      <c r="AZ253" s="482"/>
      <c r="BA253" s="482"/>
      <c r="BB253" s="482"/>
      <c r="BC253" s="482"/>
      <c r="BD253" s="482"/>
      <c r="BE253" s="482"/>
      <c r="BF253" s="482"/>
      <c r="BG253" s="482"/>
      <c r="BH253" s="481"/>
      <c r="BI253" s="482"/>
      <c r="BJ253" s="482"/>
      <c r="BK253" s="482"/>
      <c r="BL253" s="481"/>
      <c r="BM253" s="481"/>
      <c r="BN253" s="481"/>
      <c r="BO253" s="482"/>
      <c r="BP253" s="482"/>
    </row>
    <row r="254" spans="2:68" ht="14.25" hidden="1" customHeight="1">
      <c r="B254" s="481"/>
      <c r="C254" s="482"/>
      <c r="D254" s="482"/>
      <c r="E254" s="482"/>
      <c r="F254" s="482"/>
      <c r="G254" s="482"/>
      <c r="H254" s="482"/>
      <c r="I254" s="483"/>
      <c r="J254" s="483"/>
      <c r="K254" s="483"/>
      <c r="L254" s="482"/>
      <c r="M254" s="482"/>
      <c r="N254" s="482"/>
      <c r="O254" s="482"/>
      <c r="P254" s="482"/>
      <c r="Q254" s="482"/>
      <c r="R254" s="482"/>
      <c r="S254" s="482"/>
      <c r="T254" s="482"/>
      <c r="U254" s="482"/>
      <c r="V254" s="482"/>
      <c r="W254" s="482"/>
      <c r="X254" s="482"/>
      <c r="Y254" s="482"/>
      <c r="Z254" s="482"/>
      <c r="AA254" s="481"/>
      <c r="AB254" s="481"/>
      <c r="AC254" s="482"/>
      <c r="AD254" s="482"/>
      <c r="AE254" s="482"/>
      <c r="AF254" s="481"/>
      <c r="AG254" s="482"/>
      <c r="AH254" s="482"/>
      <c r="AI254" s="482"/>
      <c r="AJ254" s="481"/>
      <c r="AK254" s="481"/>
      <c r="AL254" s="481"/>
      <c r="AM254" s="482"/>
      <c r="AN254" s="487"/>
      <c r="AO254" s="490"/>
      <c r="AP254" s="485"/>
      <c r="AQ254" s="482"/>
      <c r="AR254" s="482"/>
      <c r="AS254" s="482"/>
      <c r="AT254" s="482"/>
      <c r="AU254" s="482"/>
      <c r="AV254" s="482"/>
      <c r="AW254" s="482"/>
      <c r="AX254" s="482"/>
      <c r="AY254" s="481"/>
      <c r="AZ254" s="482"/>
      <c r="BA254" s="482"/>
      <c r="BB254" s="482"/>
      <c r="BC254" s="482"/>
      <c r="BD254" s="482"/>
      <c r="BE254" s="482"/>
      <c r="BF254" s="482"/>
      <c r="BG254" s="482"/>
      <c r="BH254" s="481"/>
      <c r="BI254" s="482"/>
      <c r="BJ254" s="482"/>
      <c r="BK254" s="482"/>
      <c r="BL254" s="481"/>
      <c r="BM254" s="481"/>
      <c r="BN254" s="481"/>
      <c r="BO254" s="482"/>
      <c r="BP254" s="482"/>
    </row>
    <row r="255" spans="2:68" ht="14.25" hidden="1" customHeight="1">
      <c r="B255" s="481"/>
      <c r="C255" s="482"/>
      <c r="D255" s="482"/>
      <c r="E255" s="482"/>
      <c r="F255" s="482"/>
      <c r="G255" s="482"/>
      <c r="H255" s="482"/>
      <c r="I255" s="483"/>
      <c r="J255" s="483"/>
      <c r="K255" s="483"/>
      <c r="L255" s="482"/>
      <c r="M255" s="482"/>
      <c r="N255" s="482"/>
      <c r="O255" s="482"/>
      <c r="P255" s="482"/>
      <c r="Q255" s="482"/>
      <c r="R255" s="482"/>
      <c r="S255" s="482"/>
      <c r="T255" s="482"/>
      <c r="U255" s="482"/>
      <c r="V255" s="482"/>
      <c r="W255" s="482"/>
      <c r="X255" s="482"/>
      <c r="Y255" s="482"/>
      <c r="Z255" s="482"/>
      <c r="AA255" s="481"/>
      <c r="AB255" s="481"/>
      <c r="AC255" s="482"/>
      <c r="AD255" s="482"/>
      <c r="AE255" s="482"/>
      <c r="AF255" s="481"/>
      <c r="AG255" s="482"/>
      <c r="AH255" s="482"/>
      <c r="AI255" s="482"/>
      <c r="AJ255" s="481"/>
      <c r="AK255" s="481"/>
      <c r="AL255" s="481"/>
      <c r="AM255" s="482"/>
      <c r="AN255" s="487"/>
      <c r="AO255" s="490"/>
      <c r="AP255" s="485"/>
      <c r="AQ255" s="482"/>
      <c r="AR255" s="482"/>
      <c r="AS255" s="482"/>
      <c r="AT255" s="482"/>
      <c r="AU255" s="482"/>
      <c r="AV255" s="482"/>
      <c r="AW255" s="482"/>
      <c r="AX255" s="482"/>
      <c r="AY255" s="481"/>
      <c r="AZ255" s="482"/>
      <c r="BA255" s="482"/>
      <c r="BB255" s="482"/>
      <c r="BC255" s="482"/>
      <c r="BD255" s="482"/>
      <c r="BE255" s="482"/>
      <c r="BF255" s="482"/>
      <c r="BG255" s="482"/>
      <c r="BH255" s="481"/>
      <c r="BI255" s="482"/>
      <c r="BJ255" s="482"/>
      <c r="BK255" s="482"/>
      <c r="BL255" s="481"/>
      <c r="BM255" s="481"/>
      <c r="BN255" s="481"/>
      <c r="BO255" s="482"/>
      <c r="BP255" s="482"/>
    </row>
    <row r="256" spans="2:68" ht="14.25" hidden="1" customHeight="1">
      <c r="B256" s="481"/>
      <c r="C256" s="482"/>
      <c r="D256" s="482"/>
      <c r="E256" s="482"/>
      <c r="F256" s="482"/>
      <c r="G256" s="482"/>
      <c r="H256" s="482"/>
      <c r="I256" s="483"/>
      <c r="J256" s="483"/>
      <c r="K256" s="483"/>
      <c r="L256" s="482"/>
      <c r="M256" s="482"/>
      <c r="N256" s="482"/>
      <c r="O256" s="482"/>
      <c r="P256" s="482"/>
      <c r="Q256" s="482"/>
      <c r="R256" s="482"/>
      <c r="S256" s="482"/>
      <c r="T256" s="482"/>
      <c r="U256" s="482"/>
      <c r="V256" s="482"/>
      <c r="W256" s="482"/>
      <c r="X256" s="482"/>
      <c r="Y256" s="482"/>
      <c r="Z256" s="482"/>
      <c r="AA256" s="481"/>
      <c r="AB256" s="481"/>
      <c r="AC256" s="482"/>
      <c r="AD256" s="482"/>
      <c r="AE256" s="482"/>
      <c r="AF256" s="481"/>
      <c r="AG256" s="482"/>
      <c r="AH256" s="482"/>
      <c r="AI256" s="482"/>
      <c r="AJ256" s="481"/>
      <c r="AK256" s="481"/>
      <c r="AL256" s="481"/>
      <c r="AM256" s="482"/>
      <c r="AN256" s="487"/>
      <c r="AO256" s="490"/>
      <c r="AP256" s="485"/>
      <c r="AQ256" s="482"/>
      <c r="AR256" s="482"/>
      <c r="AS256" s="482"/>
      <c r="AT256" s="482"/>
      <c r="AU256" s="482"/>
      <c r="AV256" s="482"/>
      <c r="AW256" s="482"/>
      <c r="AX256" s="482"/>
      <c r="AY256" s="481"/>
      <c r="AZ256" s="482"/>
      <c r="BA256" s="482"/>
      <c r="BB256" s="482"/>
      <c r="BC256" s="482"/>
      <c r="BD256" s="482"/>
      <c r="BE256" s="482"/>
      <c r="BF256" s="482"/>
      <c r="BG256" s="482"/>
      <c r="BH256" s="481"/>
      <c r="BI256" s="482"/>
      <c r="BJ256" s="482"/>
      <c r="BK256" s="482"/>
      <c r="BL256" s="481"/>
      <c r="BM256" s="481"/>
      <c r="BN256" s="481"/>
      <c r="BO256" s="482"/>
      <c r="BP256" s="482"/>
    </row>
    <row r="257" spans="2:68" ht="14.25" hidden="1" customHeight="1">
      <c r="B257" s="481"/>
      <c r="C257" s="482"/>
      <c r="D257" s="482"/>
      <c r="E257" s="482"/>
      <c r="F257" s="482"/>
      <c r="G257" s="482"/>
      <c r="H257" s="482"/>
      <c r="I257" s="483"/>
      <c r="J257" s="483"/>
      <c r="K257" s="483"/>
      <c r="L257" s="482"/>
      <c r="M257" s="482"/>
      <c r="N257" s="482"/>
      <c r="O257" s="482"/>
      <c r="P257" s="482"/>
      <c r="Q257" s="482"/>
      <c r="R257" s="482"/>
      <c r="S257" s="482"/>
      <c r="T257" s="482"/>
      <c r="U257" s="482"/>
      <c r="V257" s="482"/>
      <c r="W257" s="482"/>
      <c r="X257" s="482"/>
      <c r="Y257" s="482"/>
      <c r="Z257" s="482"/>
      <c r="AA257" s="481"/>
      <c r="AB257" s="481"/>
      <c r="AC257" s="482"/>
      <c r="AD257" s="482"/>
      <c r="AE257" s="482"/>
      <c r="AF257" s="481"/>
      <c r="AG257" s="482"/>
      <c r="AH257" s="482"/>
      <c r="AI257" s="482"/>
      <c r="AJ257" s="481"/>
      <c r="AK257" s="481"/>
      <c r="AL257" s="481"/>
      <c r="AM257" s="482"/>
      <c r="AN257" s="487"/>
      <c r="AO257" s="490"/>
      <c r="AP257" s="485"/>
      <c r="AQ257" s="482"/>
      <c r="AR257" s="482"/>
      <c r="AS257" s="482"/>
      <c r="AT257" s="482"/>
      <c r="AU257" s="482"/>
      <c r="AV257" s="482"/>
      <c r="AW257" s="482"/>
      <c r="AX257" s="482"/>
      <c r="AY257" s="481"/>
      <c r="AZ257" s="482"/>
      <c r="BA257" s="482"/>
      <c r="BB257" s="482"/>
      <c r="BC257" s="482"/>
      <c r="BD257" s="482"/>
      <c r="BE257" s="482"/>
      <c r="BF257" s="482"/>
      <c r="BG257" s="482"/>
      <c r="BH257" s="481"/>
      <c r="BI257" s="482"/>
      <c r="BJ257" s="482"/>
      <c r="BK257" s="482"/>
      <c r="BL257" s="481"/>
      <c r="BM257" s="481"/>
      <c r="BN257" s="481"/>
      <c r="BO257" s="482"/>
      <c r="BP257" s="482"/>
    </row>
    <row r="258" spans="2:68" ht="14.25" hidden="1" customHeight="1">
      <c r="B258" s="481"/>
      <c r="C258" s="482"/>
      <c r="D258" s="482"/>
      <c r="E258" s="482"/>
      <c r="F258" s="482"/>
      <c r="G258" s="482"/>
      <c r="H258" s="482"/>
      <c r="I258" s="483"/>
      <c r="J258" s="483"/>
      <c r="K258" s="483"/>
      <c r="L258" s="482"/>
      <c r="M258" s="482"/>
      <c r="N258" s="482"/>
      <c r="O258" s="482"/>
      <c r="P258" s="482"/>
      <c r="Q258" s="482"/>
      <c r="R258" s="482"/>
      <c r="S258" s="482"/>
      <c r="T258" s="482"/>
      <c r="U258" s="482"/>
      <c r="V258" s="482"/>
      <c r="W258" s="482"/>
      <c r="X258" s="482"/>
      <c r="Y258" s="482"/>
      <c r="Z258" s="482"/>
      <c r="AA258" s="481"/>
      <c r="AB258" s="481"/>
      <c r="AC258" s="482"/>
      <c r="AD258" s="482"/>
      <c r="AE258" s="482"/>
      <c r="AF258" s="481"/>
      <c r="AG258" s="482"/>
      <c r="AH258" s="482"/>
      <c r="AI258" s="482"/>
      <c r="AJ258" s="481"/>
      <c r="AK258" s="481"/>
      <c r="AL258" s="481"/>
      <c r="AM258" s="482"/>
      <c r="AN258" s="487"/>
      <c r="AO258" s="490"/>
      <c r="AP258" s="485"/>
      <c r="AQ258" s="482"/>
      <c r="AR258" s="482"/>
      <c r="AS258" s="482"/>
      <c r="AT258" s="482"/>
      <c r="AU258" s="482"/>
      <c r="AV258" s="482"/>
      <c r="AW258" s="482"/>
      <c r="AX258" s="482"/>
      <c r="AY258" s="481"/>
      <c r="AZ258" s="482"/>
      <c r="BA258" s="482"/>
      <c r="BB258" s="482"/>
      <c r="BC258" s="482"/>
      <c r="BD258" s="482"/>
      <c r="BE258" s="482"/>
      <c r="BF258" s="482"/>
      <c r="BG258" s="482"/>
      <c r="BH258" s="481"/>
      <c r="BI258" s="482"/>
      <c r="BJ258" s="482"/>
      <c r="BK258" s="482"/>
      <c r="BL258" s="481"/>
      <c r="BM258" s="481"/>
      <c r="BN258" s="481"/>
      <c r="BO258" s="482"/>
      <c r="BP258" s="482"/>
    </row>
    <row r="259" spans="2:68" ht="14.25" hidden="1" customHeight="1">
      <c r="B259" s="481"/>
      <c r="C259" s="482"/>
      <c r="D259" s="482"/>
      <c r="E259" s="482"/>
      <c r="F259" s="482"/>
      <c r="G259" s="482"/>
      <c r="H259" s="482"/>
      <c r="I259" s="483"/>
      <c r="J259" s="483"/>
      <c r="K259" s="483"/>
      <c r="L259" s="482"/>
      <c r="M259" s="482"/>
      <c r="N259" s="482"/>
      <c r="O259" s="482"/>
      <c r="P259" s="482"/>
      <c r="Q259" s="482"/>
      <c r="R259" s="482"/>
      <c r="S259" s="482"/>
      <c r="T259" s="482"/>
      <c r="U259" s="482"/>
      <c r="V259" s="482"/>
      <c r="W259" s="482"/>
      <c r="X259" s="482"/>
      <c r="Y259" s="482"/>
      <c r="Z259" s="482"/>
      <c r="AA259" s="481"/>
      <c r="AB259" s="481"/>
      <c r="AC259" s="482"/>
      <c r="AD259" s="482"/>
      <c r="AE259" s="482"/>
      <c r="AF259" s="481"/>
      <c r="AG259" s="482"/>
      <c r="AH259" s="482"/>
      <c r="AI259" s="482"/>
      <c r="AJ259" s="481"/>
      <c r="AK259" s="481"/>
      <c r="AL259" s="481"/>
      <c r="AM259" s="482"/>
      <c r="AN259" s="487"/>
      <c r="AO259" s="490"/>
      <c r="AP259" s="485"/>
      <c r="AQ259" s="482"/>
      <c r="AR259" s="482"/>
      <c r="AS259" s="482"/>
      <c r="AT259" s="482"/>
      <c r="AU259" s="482"/>
      <c r="AV259" s="482"/>
      <c r="AW259" s="482"/>
      <c r="AX259" s="482"/>
      <c r="AY259" s="481"/>
      <c r="AZ259" s="482"/>
      <c r="BA259" s="482"/>
      <c r="BB259" s="482"/>
      <c r="BC259" s="482"/>
      <c r="BD259" s="482"/>
      <c r="BE259" s="482"/>
      <c r="BF259" s="482"/>
      <c r="BG259" s="482"/>
      <c r="BH259" s="481"/>
      <c r="BI259" s="482"/>
      <c r="BJ259" s="482"/>
      <c r="BK259" s="482"/>
      <c r="BL259" s="481"/>
      <c r="BM259" s="481"/>
      <c r="BN259" s="481"/>
      <c r="BO259" s="482"/>
      <c r="BP259" s="482"/>
    </row>
    <row r="260" spans="2:68" ht="14.25" hidden="1" customHeight="1">
      <c r="B260" s="481"/>
      <c r="C260" s="482"/>
      <c r="D260" s="482"/>
      <c r="E260" s="482"/>
      <c r="F260" s="482"/>
      <c r="G260" s="482"/>
      <c r="H260" s="482"/>
      <c r="I260" s="483"/>
      <c r="J260" s="483"/>
      <c r="K260" s="483"/>
      <c r="L260" s="482"/>
      <c r="M260" s="482"/>
      <c r="N260" s="482"/>
      <c r="O260" s="482"/>
      <c r="P260" s="482"/>
      <c r="Q260" s="482"/>
      <c r="R260" s="482"/>
      <c r="S260" s="482"/>
      <c r="T260" s="482"/>
      <c r="U260" s="482"/>
      <c r="V260" s="482"/>
      <c r="W260" s="482"/>
      <c r="X260" s="482"/>
      <c r="Y260" s="482"/>
      <c r="Z260" s="482"/>
      <c r="AA260" s="481"/>
      <c r="AB260" s="481"/>
      <c r="AC260" s="482"/>
      <c r="AD260" s="482"/>
      <c r="AE260" s="482"/>
      <c r="AF260" s="481"/>
      <c r="AG260" s="482"/>
      <c r="AH260" s="482"/>
      <c r="AI260" s="482"/>
      <c r="AJ260" s="481"/>
      <c r="AK260" s="481"/>
      <c r="AL260" s="481"/>
      <c r="AM260" s="482"/>
      <c r="AN260" s="487"/>
      <c r="AO260" s="490"/>
      <c r="AP260" s="485"/>
      <c r="AQ260" s="482"/>
      <c r="AR260" s="482"/>
      <c r="AS260" s="482"/>
      <c r="AT260" s="482"/>
      <c r="AU260" s="482"/>
      <c r="AV260" s="482"/>
      <c r="AW260" s="482"/>
      <c r="AX260" s="482"/>
      <c r="AY260" s="481"/>
      <c r="AZ260" s="482"/>
      <c r="BA260" s="482"/>
      <c r="BB260" s="482"/>
      <c r="BC260" s="482"/>
      <c r="BD260" s="482"/>
      <c r="BE260" s="482"/>
      <c r="BF260" s="482"/>
      <c r="BG260" s="482"/>
      <c r="BH260" s="481"/>
      <c r="BI260" s="482"/>
      <c r="BJ260" s="482"/>
      <c r="BK260" s="482"/>
      <c r="BL260" s="481"/>
      <c r="BM260" s="481"/>
      <c r="BN260" s="481"/>
      <c r="BO260" s="482"/>
      <c r="BP260" s="482"/>
    </row>
    <row r="261" spans="2:68" ht="14.25" hidden="1" customHeight="1">
      <c r="B261" s="481"/>
      <c r="C261" s="482"/>
      <c r="D261" s="482"/>
      <c r="E261" s="482"/>
      <c r="F261" s="482"/>
      <c r="G261" s="482"/>
      <c r="H261" s="482"/>
      <c r="I261" s="483"/>
      <c r="J261" s="483"/>
      <c r="K261" s="483"/>
      <c r="L261" s="482"/>
      <c r="M261" s="482"/>
      <c r="N261" s="482"/>
      <c r="O261" s="482"/>
      <c r="P261" s="482"/>
      <c r="Q261" s="482"/>
      <c r="R261" s="482"/>
      <c r="S261" s="482"/>
      <c r="T261" s="482"/>
      <c r="U261" s="482"/>
      <c r="V261" s="482"/>
      <c r="W261" s="482"/>
      <c r="X261" s="482"/>
      <c r="Y261" s="482"/>
      <c r="Z261" s="482"/>
      <c r="AA261" s="481"/>
      <c r="AB261" s="481"/>
      <c r="AC261" s="482"/>
      <c r="AD261" s="482"/>
      <c r="AE261" s="482"/>
      <c r="AF261" s="481"/>
      <c r="AG261" s="482"/>
      <c r="AH261" s="482"/>
      <c r="AI261" s="482"/>
      <c r="AJ261" s="481"/>
      <c r="AK261" s="481"/>
      <c r="AL261" s="481"/>
      <c r="AM261" s="482"/>
      <c r="AN261" s="487"/>
      <c r="AO261" s="490"/>
      <c r="AP261" s="485"/>
      <c r="AQ261" s="482"/>
      <c r="AR261" s="482"/>
      <c r="AS261" s="482"/>
      <c r="AT261" s="482"/>
      <c r="AU261" s="482"/>
      <c r="AV261" s="482"/>
      <c r="AW261" s="482"/>
      <c r="AX261" s="482"/>
      <c r="AY261" s="481"/>
      <c r="AZ261" s="482"/>
      <c r="BA261" s="482"/>
      <c r="BB261" s="482"/>
      <c r="BC261" s="482"/>
      <c r="BD261" s="482"/>
      <c r="BE261" s="482"/>
      <c r="BF261" s="482"/>
      <c r="BG261" s="482"/>
      <c r="BH261" s="481"/>
      <c r="BI261" s="482"/>
      <c r="BJ261" s="482"/>
      <c r="BK261" s="482"/>
      <c r="BL261" s="481"/>
      <c r="BM261" s="481"/>
      <c r="BN261" s="481"/>
      <c r="BO261" s="482"/>
      <c r="BP261" s="482"/>
    </row>
    <row r="262" spans="2:68" ht="14.25" hidden="1" customHeight="1">
      <c r="B262" s="481"/>
      <c r="C262" s="482"/>
      <c r="D262" s="482"/>
      <c r="E262" s="482"/>
      <c r="F262" s="482"/>
      <c r="G262" s="482"/>
      <c r="H262" s="482"/>
      <c r="I262" s="483"/>
      <c r="J262" s="483"/>
      <c r="K262" s="483"/>
      <c r="L262" s="482"/>
      <c r="M262" s="482"/>
      <c r="N262" s="482"/>
      <c r="O262" s="482"/>
      <c r="P262" s="482"/>
      <c r="Q262" s="482"/>
      <c r="R262" s="482"/>
      <c r="S262" s="482"/>
      <c r="T262" s="482"/>
      <c r="U262" s="482"/>
      <c r="V262" s="482"/>
      <c r="W262" s="482"/>
      <c r="X262" s="482"/>
      <c r="Y262" s="482"/>
      <c r="Z262" s="482"/>
      <c r="AA262" s="481"/>
      <c r="AB262" s="481"/>
      <c r="AC262" s="482"/>
      <c r="AD262" s="482"/>
      <c r="AE262" s="482"/>
      <c r="AF262" s="481"/>
      <c r="AG262" s="482"/>
      <c r="AH262" s="482"/>
      <c r="AI262" s="482"/>
      <c r="AJ262" s="481"/>
      <c r="AK262" s="481"/>
      <c r="AL262" s="481"/>
      <c r="AM262" s="482"/>
      <c r="AN262" s="487"/>
      <c r="AO262" s="490"/>
      <c r="AP262" s="485"/>
      <c r="AQ262" s="482"/>
      <c r="AR262" s="482"/>
      <c r="AS262" s="482"/>
      <c r="AT262" s="482"/>
      <c r="AU262" s="482"/>
      <c r="AV262" s="482"/>
      <c r="AW262" s="482"/>
      <c r="AX262" s="482"/>
      <c r="AY262" s="481"/>
      <c r="AZ262" s="482"/>
      <c r="BA262" s="482"/>
      <c r="BB262" s="482"/>
      <c r="BC262" s="482"/>
      <c r="BD262" s="482"/>
      <c r="BE262" s="482"/>
      <c r="BF262" s="482"/>
      <c r="BG262" s="482"/>
      <c r="BH262" s="481"/>
      <c r="BI262" s="482"/>
      <c r="BJ262" s="482"/>
      <c r="BK262" s="482"/>
      <c r="BL262" s="481"/>
      <c r="BM262" s="481"/>
      <c r="BN262" s="481"/>
      <c r="BO262" s="482"/>
      <c r="BP262" s="482"/>
    </row>
    <row r="263" spans="2:68" ht="14.25" hidden="1" customHeight="1">
      <c r="B263" s="481"/>
      <c r="C263" s="482"/>
      <c r="D263" s="482"/>
      <c r="E263" s="482"/>
      <c r="F263" s="482"/>
      <c r="G263" s="482"/>
      <c r="H263" s="482"/>
      <c r="I263" s="483"/>
      <c r="J263" s="483"/>
      <c r="K263" s="483"/>
      <c r="L263" s="482"/>
      <c r="M263" s="482"/>
      <c r="N263" s="482"/>
      <c r="O263" s="482"/>
      <c r="P263" s="482"/>
      <c r="Q263" s="482"/>
      <c r="R263" s="482"/>
      <c r="S263" s="482"/>
      <c r="T263" s="482"/>
      <c r="U263" s="482"/>
      <c r="V263" s="482"/>
      <c r="W263" s="482"/>
      <c r="X263" s="482"/>
      <c r="Y263" s="482"/>
      <c r="Z263" s="482"/>
      <c r="AA263" s="481"/>
      <c r="AB263" s="481"/>
      <c r="AC263" s="482"/>
      <c r="AD263" s="482"/>
      <c r="AE263" s="482"/>
      <c r="AF263" s="481"/>
      <c r="AG263" s="482"/>
      <c r="AH263" s="482"/>
      <c r="AI263" s="482"/>
      <c r="AJ263" s="481"/>
      <c r="AK263" s="481"/>
      <c r="AL263" s="481"/>
      <c r="AM263" s="482"/>
      <c r="AN263" s="487"/>
      <c r="AO263" s="490"/>
      <c r="AP263" s="485"/>
      <c r="AQ263" s="482"/>
      <c r="AR263" s="482"/>
      <c r="AS263" s="482"/>
      <c r="AT263" s="482"/>
      <c r="AU263" s="482"/>
      <c r="AV263" s="482"/>
      <c r="AW263" s="482"/>
      <c r="AX263" s="482"/>
      <c r="AY263" s="481"/>
      <c r="AZ263" s="482"/>
      <c r="BA263" s="482"/>
      <c r="BB263" s="482"/>
      <c r="BC263" s="482"/>
      <c r="BD263" s="482"/>
      <c r="BE263" s="482"/>
      <c r="BF263" s="482"/>
      <c r="BG263" s="482"/>
      <c r="BH263" s="481"/>
      <c r="BI263" s="482"/>
      <c r="BJ263" s="482"/>
      <c r="BK263" s="482"/>
      <c r="BL263" s="481"/>
      <c r="BM263" s="481"/>
      <c r="BN263" s="481"/>
      <c r="BO263" s="482"/>
      <c r="BP263" s="482"/>
    </row>
    <row r="264" spans="2:68" ht="14.25" hidden="1" customHeight="1">
      <c r="B264" s="481"/>
      <c r="C264" s="482"/>
      <c r="D264" s="482"/>
      <c r="E264" s="482"/>
      <c r="F264" s="482"/>
      <c r="G264" s="482"/>
      <c r="H264" s="482"/>
      <c r="I264" s="483"/>
      <c r="J264" s="483"/>
      <c r="K264" s="483"/>
      <c r="L264" s="482"/>
      <c r="M264" s="482"/>
      <c r="N264" s="482"/>
      <c r="O264" s="482"/>
      <c r="P264" s="482"/>
      <c r="Q264" s="482"/>
      <c r="R264" s="482"/>
      <c r="S264" s="482"/>
      <c r="T264" s="482"/>
      <c r="U264" s="482"/>
      <c r="V264" s="482"/>
      <c r="W264" s="482"/>
      <c r="X264" s="482"/>
      <c r="Y264" s="482"/>
      <c r="Z264" s="482"/>
      <c r="AA264" s="481"/>
      <c r="AB264" s="481"/>
      <c r="AC264" s="482"/>
      <c r="AD264" s="482"/>
      <c r="AE264" s="482"/>
      <c r="AF264" s="481"/>
      <c r="AG264" s="482"/>
      <c r="AH264" s="482"/>
      <c r="AI264" s="482"/>
      <c r="AJ264" s="481"/>
      <c r="AK264" s="481"/>
      <c r="AL264" s="481"/>
      <c r="AM264" s="482"/>
      <c r="AN264" s="487"/>
      <c r="AO264" s="490"/>
      <c r="AP264" s="485"/>
      <c r="AQ264" s="482"/>
      <c r="AR264" s="482"/>
      <c r="AS264" s="482"/>
      <c r="AT264" s="482"/>
      <c r="AU264" s="482"/>
      <c r="AV264" s="482"/>
      <c r="AW264" s="482"/>
      <c r="AX264" s="482"/>
      <c r="AY264" s="481"/>
      <c r="AZ264" s="482"/>
      <c r="BA264" s="482"/>
      <c r="BB264" s="482"/>
      <c r="BC264" s="482"/>
      <c r="BD264" s="482"/>
      <c r="BE264" s="482"/>
      <c r="BF264" s="482"/>
      <c r="BG264" s="482"/>
      <c r="BH264" s="481"/>
      <c r="BI264" s="482"/>
      <c r="BJ264" s="482"/>
      <c r="BK264" s="482"/>
      <c r="BL264" s="481"/>
      <c r="BM264" s="481"/>
      <c r="BN264" s="481"/>
      <c r="BO264" s="482"/>
      <c r="BP264" s="482"/>
    </row>
    <row r="265" spans="2:68" ht="14.25" hidden="1" customHeight="1">
      <c r="B265" s="481"/>
      <c r="C265" s="482"/>
      <c r="D265" s="482"/>
      <c r="E265" s="482"/>
      <c r="F265" s="482"/>
      <c r="G265" s="482"/>
      <c r="H265" s="482"/>
      <c r="I265" s="483"/>
      <c r="J265" s="483"/>
      <c r="K265" s="483"/>
      <c r="L265" s="482"/>
      <c r="M265" s="482"/>
      <c r="N265" s="482"/>
      <c r="O265" s="482"/>
      <c r="P265" s="482"/>
      <c r="Q265" s="482"/>
      <c r="R265" s="482"/>
      <c r="S265" s="482"/>
      <c r="T265" s="482"/>
      <c r="U265" s="482"/>
      <c r="V265" s="482"/>
      <c r="W265" s="482"/>
      <c r="X265" s="482"/>
      <c r="Y265" s="482"/>
      <c r="Z265" s="482"/>
      <c r="AA265" s="481"/>
      <c r="AB265" s="481"/>
      <c r="AC265" s="482"/>
      <c r="AD265" s="482"/>
      <c r="AE265" s="482"/>
      <c r="AF265" s="481"/>
      <c r="AG265" s="482"/>
      <c r="AH265" s="482"/>
      <c r="AI265" s="482"/>
      <c r="AJ265" s="481"/>
      <c r="AK265" s="481"/>
      <c r="AL265" s="481"/>
      <c r="AM265" s="482"/>
      <c r="AN265" s="487"/>
      <c r="AO265" s="490"/>
      <c r="AP265" s="485"/>
      <c r="AQ265" s="482"/>
      <c r="AR265" s="482"/>
      <c r="AS265" s="482"/>
      <c r="AT265" s="482"/>
      <c r="AU265" s="482"/>
      <c r="AV265" s="482"/>
      <c r="AW265" s="482"/>
      <c r="AX265" s="482"/>
      <c r="AY265" s="481"/>
      <c r="AZ265" s="482"/>
      <c r="BA265" s="482"/>
      <c r="BB265" s="482"/>
      <c r="BC265" s="482"/>
      <c r="BD265" s="482"/>
      <c r="BE265" s="482"/>
      <c r="BF265" s="482"/>
      <c r="BG265" s="482"/>
      <c r="BH265" s="481"/>
      <c r="BI265" s="482"/>
      <c r="BJ265" s="482"/>
      <c r="BK265" s="482"/>
      <c r="BL265" s="481"/>
      <c r="BM265" s="481"/>
      <c r="BN265" s="481"/>
      <c r="BO265" s="482"/>
      <c r="BP265" s="482"/>
    </row>
    <row r="266" spans="2:68" ht="14.25" hidden="1" customHeight="1">
      <c r="B266" s="481"/>
      <c r="C266" s="482"/>
      <c r="D266" s="482"/>
      <c r="E266" s="482"/>
      <c r="F266" s="482"/>
      <c r="G266" s="482"/>
      <c r="H266" s="482"/>
      <c r="I266" s="483"/>
      <c r="J266" s="483"/>
      <c r="K266" s="483"/>
      <c r="L266" s="482"/>
      <c r="M266" s="482"/>
      <c r="N266" s="482"/>
      <c r="O266" s="482"/>
      <c r="P266" s="482"/>
      <c r="Q266" s="482"/>
      <c r="R266" s="482"/>
      <c r="S266" s="482"/>
      <c r="T266" s="482"/>
      <c r="U266" s="482"/>
      <c r="V266" s="482"/>
      <c r="W266" s="482"/>
      <c r="X266" s="482"/>
      <c r="Y266" s="482"/>
      <c r="Z266" s="482"/>
      <c r="AA266" s="481"/>
      <c r="AB266" s="481"/>
      <c r="AC266" s="482"/>
      <c r="AD266" s="482"/>
      <c r="AE266" s="482"/>
      <c r="AF266" s="481"/>
      <c r="AG266" s="482"/>
      <c r="AH266" s="482"/>
      <c r="AI266" s="482"/>
      <c r="AJ266" s="481"/>
      <c r="AK266" s="481"/>
      <c r="AL266" s="481"/>
      <c r="AM266" s="482"/>
      <c r="AN266" s="487"/>
      <c r="AO266" s="490"/>
      <c r="AP266" s="485"/>
      <c r="AQ266" s="482"/>
      <c r="AR266" s="482"/>
      <c r="AS266" s="482"/>
      <c r="AT266" s="482"/>
      <c r="AU266" s="482"/>
      <c r="AV266" s="482"/>
      <c r="AW266" s="482"/>
      <c r="AX266" s="482"/>
      <c r="AY266" s="481"/>
      <c r="AZ266" s="482"/>
      <c r="BA266" s="482"/>
      <c r="BB266" s="482"/>
      <c r="BC266" s="482"/>
      <c r="BD266" s="482"/>
      <c r="BE266" s="482"/>
      <c r="BF266" s="482"/>
      <c r="BG266" s="482"/>
      <c r="BH266" s="481"/>
      <c r="BI266" s="482"/>
      <c r="BJ266" s="482"/>
      <c r="BK266" s="482"/>
      <c r="BL266" s="481"/>
      <c r="BM266" s="481"/>
      <c r="BN266" s="481"/>
      <c r="BO266" s="482"/>
      <c r="BP266" s="482"/>
    </row>
    <row r="267" spans="2:68" ht="14.25" hidden="1" customHeight="1">
      <c r="B267" s="481"/>
      <c r="C267" s="482"/>
      <c r="D267" s="482"/>
      <c r="E267" s="482"/>
      <c r="F267" s="482"/>
      <c r="G267" s="482"/>
      <c r="H267" s="482"/>
      <c r="I267" s="483"/>
      <c r="J267" s="483"/>
      <c r="K267" s="483"/>
      <c r="L267" s="482"/>
      <c r="M267" s="482"/>
      <c r="N267" s="482"/>
      <c r="O267" s="482"/>
      <c r="P267" s="482"/>
      <c r="Q267" s="482"/>
      <c r="R267" s="482"/>
      <c r="S267" s="482"/>
      <c r="T267" s="482"/>
      <c r="U267" s="482"/>
      <c r="V267" s="482"/>
      <c r="W267" s="482"/>
      <c r="X267" s="482"/>
      <c r="Y267" s="482"/>
      <c r="Z267" s="482"/>
      <c r="AA267" s="481"/>
      <c r="AB267" s="481"/>
      <c r="AC267" s="482"/>
      <c r="AD267" s="482"/>
      <c r="AE267" s="482"/>
      <c r="AF267" s="481"/>
      <c r="AG267" s="482"/>
      <c r="AH267" s="482"/>
      <c r="AI267" s="482"/>
      <c r="AJ267" s="481"/>
      <c r="AK267" s="481"/>
      <c r="AL267" s="481"/>
      <c r="AM267" s="482"/>
      <c r="AN267" s="487"/>
      <c r="AO267" s="490"/>
      <c r="AP267" s="485"/>
      <c r="AQ267" s="482"/>
      <c r="AR267" s="482"/>
      <c r="AS267" s="482"/>
      <c r="AT267" s="482"/>
      <c r="AU267" s="482"/>
      <c r="AV267" s="482"/>
      <c r="AW267" s="482"/>
      <c r="AX267" s="482"/>
      <c r="AY267" s="481"/>
      <c r="AZ267" s="482"/>
      <c r="BA267" s="482"/>
      <c r="BB267" s="482"/>
      <c r="BC267" s="482"/>
      <c r="BD267" s="482"/>
      <c r="BE267" s="482"/>
      <c r="BF267" s="482"/>
      <c r="BG267" s="482"/>
      <c r="BH267" s="481"/>
      <c r="BI267" s="482"/>
      <c r="BJ267" s="482"/>
      <c r="BK267" s="482"/>
      <c r="BL267" s="481"/>
      <c r="BM267" s="481"/>
      <c r="BN267" s="481"/>
      <c r="BO267" s="482"/>
      <c r="BP267" s="482"/>
    </row>
    <row r="268" spans="2:68" ht="14.25" hidden="1" customHeight="1">
      <c r="B268" s="481"/>
      <c r="C268" s="482"/>
      <c r="D268" s="482"/>
      <c r="E268" s="482"/>
      <c r="F268" s="482"/>
      <c r="G268" s="482"/>
      <c r="H268" s="482"/>
      <c r="I268" s="483"/>
      <c r="J268" s="483"/>
      <c r="K268" s="483"/>
      <c r="L268" s="482"/>
      <c r="M268" s="482"/>
      <c r="N268" s="482"/>
      <c r="O268" s="482"/>
      <c r="P268" s="482"/>
      <c r="Q268" s="482"/>
      <c r="R268" s="482"/>
      <c r="S268" s="482"/>
      <c r="T268" s="482"/>
      <c r="U268" s="482"/>
      <c r="V268" s="482"/>
      <c r="W268" s="482"/>
      <c r="X268" s="482"/>
      <c r="Y268" s="482"/>
      <c r="Z268" s="482"/>
      <c r="AA268" s="481"/>
      <c r="AB268" s="481"/>
      <c r="AC268" s="482"/>
      <c r="AD268" s="482"/>
      <c r="AE268" s="482"/>
      <c r="AF268" s="481"/>
      <c r="AG268" s="482"/>
      <c r="AH268" s="482"/>
      <c r="AI268" s="482"/>
      <c r="AJ268" s="481"/>
      <c r="AK268" s="481"/>
      <c r="AL268" s="481"/>
      <c r="AM268" s="482"/>
      <c r="AN268" s="487"/>
      <c r="AO268" s="490"/>
      <c r="AP268" s="485"/>
      <c r="AQ268" s="482"/>
      <c r="AR268" s="482"/>
      <c r="AS268" s="482"/>
      <c r="AT268" s="482"/>
      <c r="AU268" s="482"/>
      <c r="AV268" s="482"/>
      <c r="AW268" s="482"/>
      <c r="AX268" s="482"/>
      <c r="AY268" s="481"/>
      <c r="AZ268" s="482"/>
      <c r="BA268" s="482"/>
      <c r="BB268" s="482"/>
      <c r="BC268" s="482"/>
      <c r="BD268" s="482"/>
      <c r="BE268" s="482"/>
      <c r="BF268" s="482"/>
      <c r="BG268" s="482"/>
      <c r="BH268" s="481"/>
      <c r="BI268" s="482"/>
      <c r="BJ268" s="482"/>
      <c r="BK268" s="482"/>
      <c r="BL268" s="481"/>
      <c r="BM268" s="481"/>
      <c r="BN268" s="481"/>
      <c r="BO268" s="482"/>
      <c r="BP268" s="482"/>
    </row>
    <row r="269" spans="2:68" ht="14.25" hidden="1" customHeight="1">
      <c r="B269" s="481"/>
      <c r="C269" s="482"/>
      <c r="D269" s="482"/>
      <c r="E269" s="482"/>
      <c r="F269" s="482"/>
      <c r="G269" s="482"/>
      <c r="H269" s="482"/>
      <c r="I269" s="483"/>
      <c r="J269" s="483"/>
      <c r="K269" s="483"/>
      <c r="L269" s="482"/>
      <c r="M269" s="482"/>
      <c r="N269" s="482"/>
      <c r="O269" s="482"/>
      <c r="P269" s="482"/>
      <c r="Q269" s="482"/>
      <c r="R269" s="482"/>
      <c r="S269" s="482"/>
      <c r="T269" s="482"/>
      <c r="U269" s="482"/>
      <c r="V269" s="482"/>
      <c r="W269" s="482"/>
      <c r="X269" s="482"/>
      <c r="Y269" s="482"/>
      <c r="Z269" s="482"/>
      <c r="AA269" s="481"/>
      <c r="AB269" s="481"/>
      <c r="AC269" s="482"/>
      <c r="AD269" s="482"/>
      <c r="AE269" s="482"/>
      <c r="AF269" s="481"/>
      <c r="AG269" s="482"/>
      <c r="AH269" s="482"/>
      <c r="AI269" s="482"/>
      <c r="AJ269" s="481"/>
      <c r="AK269" s="481"/>
      <c r="AL269" s="481"/>
      <c r="AM269" s="482"/>
      <c r="AN269" s="487"/>
      <c r="AO269" s="490"/>
      <c r="AP269" s="485"/>
      <c r="AQ269" s="482"/>
      <c r="AR269" s="482"/>
      <c r="AS269" s="482"/>
      <c r="AT269" s="482"/>
      <c r="AU269" s="482"/>
      <c r="AV269" s="482"/>
      <c r="AW269" s="482"/>
      <c r="AX269" s="482"/>
      <c r="AY269" s="481"/>
      <c r="AZ269" s="482"/>
      <c r="BA269" s="482"/>
      <c r="BB269" s="482"/>
      <c r="BC269" s="482"/>
      <c r="BD269" s="482"/>
      <c r="BE269" s="482"/>
      <c r="BF269" s="482"/>
      <c r="BG269" s="482"/>
      <c r="BH269" s="481"/>
      <c r="BI269" s="482"/>
      <c r="BJ269" s="482"/>
      <c r="BK269" s="482"/>
      <c r="BL269" s="481"/>
      <c r="BM269" s="481"/>
      <c r="BN269" s="481"/>
      <c r="BO269" s="482"/>
      <c r="BP269" s="482"/>
    </row>
    <row r="270" spans="2:68" ht="14.25" hidden="1" customHeight="1">
      <c r="B270" s="481"/>
      <c r="C270" s="482"/>
      <c r="D270" s="482"/>
      <c r="E270" s="482"/>
      <c r="F270" s="482"/>
      <c r="G270" s="482"/>
      <c r="H270" s="482"/>
      <c r="I270" s="483"/>
      <c r="J270" s="483"/>
      <c r="K270" s="483"/>
      <c r="L270" s="482"/>
      <c r="M270" s="482"/>
      <c r="N270" s="482"/>
      <c r="O270" s="482"/>
      <c r="P270" s="482"/>
      <c r="Q270" s="482"/>
      <c r="R270" s="482"/>
      <c r="S270" s="482"/>
      <c r="T270" s="482"/>
      <c r="U270" s="482"/>
      <c r="V270" s="482"/>
      <c r="W270" s="482"/>
      <c r="X270" s="482"/>
      <c r="Y270" s="482"/>
      <c r="Z270" s="482"/>
      <c r="AA270" s="481"/>
      <c r="AB270" s="481"/>
      <c r="AC270" s="482"/>
      <c r="AD270" s="482"/>
      <c r="AE270" s="482"/>
      <c r="AF270" s="481"/>
      <c r="AG270" s="482"/>
      <c r="AH270" s="482"/>
      <c r="AI270" s="482"/>
      <c r="AJ270" s="481"/>
      <c r="AK270" s="481"/>
      <c r="AL270" s="481"/>
      <c r="AM270" s="482"/>
      <c r="AN270" s="487"/>
      <c r="AO270" s="490"/>
      <c r="AP270" s="485"/>
      <c r="AQ270" s="482"/>
      <c r="AR270" s="482"/>
      <c r="AS270" s="482"/>
      <c r="AT270" s="482"/>
      <c r="AU270" s="482"/>
      <c r="AV270" s="482"/>
      <c r="AW270" s="482"/>
      <c r="AX270" s="482"/>
      <c r="AY270" s="481"/>
      <c r="AZ270" s="482"/>
      <c r="BA270" s="482"/>
      <c r="BB270" s="482"/>
      <c r="BC270" s="482"/>
      <c r="BD270" s="482"/>
      <c r="BE270" s="482"/>
      <c r="BF270" s="482"/>
      <c r="BG270" s="482"/>
      <c r="BH270" s="481"/>
      <c r="BI270" s="482"/>
      <c r="BJ270" s="482"/>
      <c r="BK270" s="482"/>
      <c r="BL270" s="481"/>
      <c r="BM270" s="481"/>
      <c r="BN270" s="481"/>
      <c r="BO270" s="482"/>
      <c r="BP270" s="482"/>
    </row>
    <row r="271" spans="2:68" ht="14.25" hidden="1" customHeight="1">
      <c r="B271" s="481"/>
      <c r="C271" s="482"/>
      <c r="D271" s="482"/>
      <c r="E271" s="482"/>
      <c r="F271" s="482"/>
      <c r="G271" s="482"/>
      <c r="H271" s="482"/>
      <c r="I271" s="483"/>
      <c r="J271" s="483"/>
      <c r="K271" s="483"/>
      <c r="L271" s="482"/>
      <c r="M271" s="482"/>
      <c r="N271" s="482"/>
      <c r="O271" s="482"/>
      <c r="P271" s="482"/>
      <c r="Q271" s="482"/>
      <c r="R271" s="482"/>
      <c r="S271" s="482"/>
      <c r="T271" s="482"/>
      <c r="U271" s="482"/>
      <c r="V271" s="482"/>
      <c r="W271" s="482"/>
      <c r="X271" s="482"/>
      <c r="Y271" s="482"/>
      <c r="Z271" s="482"/>
      <c r="AA271" s="481"/>
      <c r="AB271" s="481"/>
      <c r="AC271" s="482"/>
      <c r="AD271" s="482"/>
      <c r="AE271" s="482"/>
      <c r="AF271" s="481"/>
      <c r="AG271" s="482"/>
      <c r="AH271" s="482"/>
      <c r="AI271" s="482"/>
      <c r="AJ271" s="481"/>
      <c r="AK271" s="481"/>
      <c r="AL271" s="481"/>
      <c r="AM271" s="482"/>
      <c r="AN271" s="487"/>
      <c r="AO271" s="490"/>
      <c r="AP271" s="485"/>
      <c r="AQ271" s="482"/>
      <c r="AR271" s="482"/>
      <c r="AS271" s="482"/>
      <c r="AT271" s="482"/>
      <c r="AU271" s="482"/>
      <c r="AV271" s="482"/>
      <c r="AW271" s="482"/>
      <c r="AX271" s="482"/>
      <c r="AY271" s="481"/>
      <c r="AZ271" s="482"/>
      <c r="BA271" s="482"/>
      <c r="BB271" s="482"/>
      <c r="BC271" s="482"/>
      <c r="BD271" s="482"/>
      <c r="BE271" s="482"/>
      <c r="BF271" s="482"/>
      <c r="BG271" s="482"/>
      <c r="BH271" s="481"/>
      <c r="BI271" s="482"/>
      <c r="BJ271" s="482"/>
      <c r="BK271" s="482"/>
      <c r="BL271" s="481"/>
      <c r="BM271" s="481"/>
      <c r="BN271" s="481"/>
      <c r="BO271" s="482"/>
      <c r="BP271" s="482"/>
    </row>
    <row r="272" spans="2:68" ht="14.25" hidden="1" customHeight="1">
      <c r="B272" s="481"/>
      <c r="C272" s="482"/>
      <c r="D272" s="482"/>
      <c r="E272" s="482"/>
      <c r="F272" s="482"/>
      <c r="G272" s="482"/>
      <c r="H272" s="482"/>
      <c r="I272" s="483"/>
      <c r="J272" s="483"/>
      <c r="K272" s="483"/>
      <c r="L272" s="482"/>
      <c r="M272" s="482"/>
      <c r="N272" s="482"/>
      <c r="O272" s="482"/>
      <c r="P272" s="482"/>
      <c r="Q272" s="482"/>
      <c r="R272" s="482"/>
      <c r="S272" s="482"/>
      <c r="T272" s="482"/>
      <c r="U272" s="482"/>
      <c r="V272" s="482"/>
      <c r="W272" s="482"/>
      <c r="X272" s="482"/>
      <c r="Y272" s="482"/>
      <c r="Z272" s="482"/>
      <c r="AA272" s="481"/>
      <c r="AB272" s="481"/>
      <c r="AC272" s="482"/>
      <c r="AD272" s="482"/>
      <c r="AE272" s="482"/>
      <c r="AF272" s="481"/>
      <c r="AG272" s="482"/>
      <c r="AH272" s="482"/>
      <c r="AI272" s="482"/>
      <c r="AJ272" s="481"/>
      <c r="AK272" s="481"/>
      <c r="AL272" s="481"/>
      <c r="AM272" s="482"/>
      <c r="AN272" s="487"/>
      <c r="AO272" s="490"/>
      <c r="AP272" s="485"/>
      <c r="AQ272" s="482"/>
      <c r="AR272" s="482"/>
      <c r="AS272" s="482"/>
      <c r="AT272" s="482"/>
      <c r="AU272" s="482"/>
      <c r="AV272" s="482"/>
      <c r="AW272" s="482"/>
      <c r="AX272" s="482"/>
      <c r="AY272" s="481"/>
      <c r="AZ272" s="482"/>
      <c r="BA272" s="482"/>
      <c r="BB272" s="482"/>
      <c r="BC272" s="482"/>
      <c r="BD272" s="482"/>
      <c r="BE272" s="482"/>
      <c r="BF272" s="482"/>
      <c r="BG272" s="482"/>
      <c r="BH272" s="481"/>
      <c r="BI272" s="482"/>
      <c r="BJ272" s="482"/>
      <c r="BK272" s="482"/>
      <c r="BL272" s="481"/>
      <c r="BM272" s="481"/>
      <c r="BN272" s="481"/>
      <c r="BO272" s="482"/>
      <c r="BP272" s="482"/>
    </row>
    <row r="273" spans="2:68" ht="14.25" hidden="1" customHeight="1">
      <c r="B273" s="481"/>
      <c r="C273" s="482"/>
      <c r="D273" s="482"/>
      <c r="E273" s="482"/>
      <c r="F273" s="482"/>
      <c r="G273" s="482"/>
      <c r="H273" s="482"/>
      <c r="I273" s="483"/>
      <c r="J273" s="483"/>
      <c r="K273" s="483"/>
      <c r="L273" s="482"/>
      <c r="M273" s="482"/>
      <c r="N273" s="482"/>
      <c r="O273" s="482"/>
      <c r="P273" s="482"/>
      <c r="Q273" s="482"/>
      <c r="R273" s="482"/>
      <c r="S273" s="482"/>
      <c r="T273" s="482"/>
      <c r="U273" s="482"/>
      <c r="V273" s="482"/>
      <c r="W273" s="482"/>
      <c r="X273" s="482"/>
      <c r="Y273" s="482"/>
      <c r="Z273" s="482"/>
      <c r="AA273" s="481"/>
      <c r="AB273" s="481"/>
      <c r="AC273" s="482"/>
      <c r="AD273" s="482"/>
      <c r="AE273" s="482"/>
      <c r="AF273" s="481"/>
      <c r="AG273" s="482"/>
      <c r="AH273" s="482"/>
      <c r="AI273" s="482"/>
      <c r="AJ273" s="481"/>
      <c r="AK273" s="481"/>
      <c r="AL273" s="481"/>
      <c r="AM273" s="482"/>
      <c r="AN273" s="487"/>
      <c r="AO273" s="490"/>
      <c r="AP273" s="485"/>
      <c r="AQ273" s="482"/>
      <c r="AR273" s="482"/>
      <c r="AS273" s="482"/>
      <c r="AT273" s="482"/>
      <c r="AU273" s="482"/>
      <c r="AV273" s="482"/>
      <c r="AW273" s="482"/>
      <c r="AX273" s="482"/>
      <c r="AY273" s="481"/>
      <c r="AZ273" s="482"/>
      <c r="BA273" s="482"/>
      <c r="BB273" s="482"/>
      <c r="BC273" s="482"/>
      <c r="BD273" s="482"/>
      <c r="BE273" s="482"/>
      <c r="BF273" s="482"/>
      <c r="BG273" s="482"/>
      <c r="BH273" s="481"/>
      <c r="BI273" s="482"/>
      <c r="BJ273" s="482"/>
      <c r="BK273" s="482"/>
      <c r="BL273" s="481"/>
      <c r="BM273" s="481"/>
      <c r="BN273" s="481"/>
      <c r="BO273" s="482"/>
      <c r="BP273" s="482"/>
    </row>
    <row r="274" spans="2:68" ht="14.25" hidden="1" customHeight="1">
      <c r="B274" s="481"/>
      <c r="C274" s="482"/>
      <c r="D274" s="482"/>
      <c r="E274" s="482"/>
      <c r="F274" s="482"/>
      <c r="G274" s="482"/>
      <c r="H274" s="482"/>
      <c r="I274" s="483"/>
      <c r="J274" s="483"/>
      <c r="K274" s="483"/>
      <c r="L274" s="482"/>
      <c r="M274" s="482"/>
      <c r="N274" s="482"/>
      <c r="O274" s="482"/>
      <c r="P274" s="482"/>
      <c r="Q274" s="482"/>
      <c r="R274" s="482"/>
      <c r="S274" s="482"/>
      <c r="T274" s="482"/>
      <c r="U274" s="482"/>
      <c r="V274" s="482"/>
      <c r="W274" s="482"/>
      <c r="X274" s="482"/>
      <c r="Y274" s="482"/>
      <c r="Z274" s="482"/>
      <c r="AA274" s="481"/>
      <c r="AB274" s="481"/>
      <c r="AC274" s="482"/>
      <c r="AD274" s="482"/>
      <c r="AE274" s="482"/>
      <c r="AF274" s="481"/>
      <c r="AG274" s="482"/>
      <c r="AH274" s="482"/>
      <c r="AI274" s="482"/>
      <c r="AJ274" s="481"/>
      <c r="AK274" s="481"/>
      <c r="AL274" s="481"/>
      <c r="AM274" s="482"/>
      <c r="AN274" s="487"/>
      <c r="AO274" s="490"/>
      <c r="AP274" s="485"/>
      <c r="AQ274" s="482"/>
      <c r="AR274" s="482"/>
      <c r="AS274" s="482"/>
      <c r="AT274" s="482"/>
      <c r="AU274" s="482"/>
      <c r="AV274" s="482"/>
      <c r="AW274" s="482"/>
      <c r="AX274" s="482"/>
      <c r="AY274" s="481"/>
      <c r="AZ274" s="482"/>
      <c r="BA274" s="482"/>
      <c r="BB274" s="482"/>
      <c r="BC274" s="482"/>
      <c r="BD274" s="482"/>
      <c r="BE274" s="482"/>
      <c r="BF274" s="482"/>
      <c r="BG274" s="482"/>
      <c r="BH274" s="481"/>
      <c r="BI274" s="482"/>
      <c r="BJ274" s="482"/>
      <c r="BK274" s="482"/>
      <c r="BL274" s="481"/>
      <c r="BM274" s="481"/>
      <c r="BN274" s="481"/>
      <c r="BO274" s="482"/>
      <c r="BP274" s="482"/>
    </row>
    <row r="275" spans="2:68" ht="14.25" hidden="1" customHeight="1">
      <c r="B275" s="481"/>
      <c r="C275" s="482"/>
      <c r="D275" s="482"/>
      <c r="E275" s="482"/>
      <c r="F275" s="482"/>
      <c r="G275" s="482"/>
      <c r="H275" s="482"/>
      <c r="I275" s="483"/>
      <c r="J275" s="483"/>
      <c r="K275" s="483"/>
      <c r="L275" s="482"/>
      <c r="M275" s="482"/>
      <c r="N275" s="482"/>
      <c r="O275" s="482"/>
      <c r="P275" s="482"/>
      <c r="Q275" s="482"/>
      <c r="R275" s="482"/>
      <c r="S275" s="482"/>
      <c r="T275" s="482"/>
      <c r="U275" s="482"/>
      <c r="V275" s="482"/>
      <c r="W275" s="482"/>
      <c r="X275" s="482"/>
      <c r="Y275" s="482"/>
      <c r="Z275" s="482"/>
      <c r="AA275" s="481"/>
      <c r="AB275" s="481"/>
      <c r="AC275" s="482"/>
      <c r="AD275" s="482"/>
      <c r="AE275" s="482"/>
      <c r="AF275" s="481"/>
      <c r="AG275" s="482"/>
      <c r="AH275" s="482"/>
      <c r="AI275" s="482"/>
      <c r="AJ275" s="481"/>
      <c r="AK275" s="481"/>
      <c r="AL275" s="481"/>
      <c r="AM275" s="482"/>
      <c r="AN275" s="487"/>
      <c r="AO275" s="490"/>
      <c r="AP275" s="485"/>
      <c r="AQ275" s="482"/>
      <c r="AR275" s="482"/>
      <c r="AS275" s="482"/>
      <c r="AT275" s="482"/>
      <c r="AU275" s="482"/>
      <c r="AV275" s="482"/>
      <c r="AW275" s="482"/>
      <c r="AX275" s="482"/>
      <c r="AY275" s="481"/>
      <c r="AZ275" s="482"/>
      <c r="BA275" s="482"/>
      <c r="BB275" s="482"/>
      <c r="BC275" s="482"/>
      <c r="BD275" s="482"/>
      <c r="BE275" s="482"/>
      <c r="BF275" s="482"/>
      <c r="BG275" s="482"/>
      <c r="BH275" s="481"/>
      <c r="BI275" s="482"/>
      <c r="BJ275" s="482"/>
      <c r="BK275" s="482"/>
      <c r="BL275" s="481"/>
      <c r="BM275" s="481"/>
      <c r="BN275" s="481"/>
      <c r="BO275" s="482"/>
      <c r="BP275" s="482"/>
    </row>
    <row r="282" spans="2:68" ht="15" customHeight="1"/>
    <row r="283" spans="2:68" ht="14.25" customHeight="1"/>
    <row r="284" spans="2:68" ht="14.25" customHeight="1"/>
  </sheetData>
  <sheetProtection autoFilter="0"/>
  <autoFilter ref="B9:B275" xr:uid="{00000000-0009-0000-0000-000007000000}">
    <filterColumn colId="0">
      <customFilters>
        <customFilter operator="notEqual" val=" "/>
      </customFilters>
    </filterColumn>
  </autoFilter>
  <mergeCells count="32">
    <mergeCell ref="O4:AD6"/>
    <mergeCell ref="K6:L6"/>
    <mergeCell ref="M6:N6"/>
    <mergeCell ref="AE6:AH6"/>
    <mergeCell ref="AI6:AK6"/>
    <mergeCell ref="K7:L7"/>
    <mergeCell ref="K4:L4"/>
    <mergeCell ref="M4:N4"/>
    <mergeCell ref="M7:N7"/>
    <mergeCell ref="K5:L5"/>
    <mergeCell ref="M5:N5"/>
    <mergeCell ref="BW7:BY7"/>
    <mergeCell ref="AE8:AH8"/>
    <mergeCell ref="AI8:AK8"/>
    <mergeCell ref="BS7:BV7"/>
    <mergeCell ref="BC4:BR6"/>
    <mergeCell ref="AI7:AK7"/>
    <mergeCell ref="AE5:AH5"/>
    <mergeCell ref="AI5:AK5"/>
    <mergeCell ref="AY5:AZ5"/>
    <mergeCell ref="BW5:BY5"/>
    <mergeCell ref="BA6:BB6"/>
    <mergeCell ref="BS6:BV6"/>
    <mergeCell ref="BW6:BY6"/>
    <mergeCell ref="AY6:AZ6"/>
    <mergeCell ref="AY4:AZ4"/>
    <mergeCell ref="BA4:BB4"/>
    <mergeCell ref="BA5:BB5"/>
    <mergeCell ref="AE7:AH7"/>
    <mergeCell ref="BS5:BV5"/>
    <mergeCell ref="AY7:AZ7"/>
    <mergeCell ref="BA7:BB7"/>
  </mergeCells>
  <pageMargins left="0.39370078740157483" right="0.39370078740157483" top="0.78740157480314965" bottom="0.78740157480314965" header="0.31496062992125984" footer="0.31496062992125984"/>
  <pageSetup paperSize="9" scale="54" orientation="landscape" r:id="rId1"/>
  <headerFooter>
    <oddFooter>&amp;LAnwendungstechnik&amp;CStand: 03.05.2022&amp;RVersion: 03.05.2022</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dimension ref="A2:Q247"/>
  <sheetViews>
    <sheetView zoomScale="85" zoomScaleNormal="85" workbookViewId="0">
      <selection activeCell="O3" sqref="O3"/>
    </sheetView>
  </sheetViews>
  <sheetFormatPr baseColWidth="10" defaultColWidth="11.44140625" defaultRowHeight="14.4"/>
  <cols>
    <col min="2" max="2" width="11.44140625" customWidth="1"/>
    <col min="3" max="3" width="56.5546875" customWidth="1"/>
    <col min="4" max="4" width="48.109375" customWidth="1"/>
    <col min="5" max="8" width="15.6640625" customWidth="1"/>
    <col min="10" max="10" width="13.33203125" bestFit="1" customWidth="1"/>
  </cols>
  <sheetData>
    <row r="2" spans="1:17" ht="24.9" customHeight="1">
      <c r="A2" s="357" t="s">
        <v>2839</v>
      </c>
      <c r="B2" s="358"/>
      <c r="C2" s="358"/>
      <c r="D2" s="359"/>
      <c r="E2" s="360"/>
      <c r="G2" s="14"/>
      <c r="H2" s="1035"/>
      <c r="I2" s="1035"/>
      <c r="K2" s="728"/>
      <c r="L2" s="730" t="s">
        <v>3972</v>
      </c>
      <c r="M2" s="729">
        <v>1.1000000000000001</v>
      </c>
    </row>
    <row r="3" spans="1:17" ht="24.9" customHeight="1">
      <c r="A3" s="361" t="s">
        <v>4368</v>
      </c>
      <c r="B3" s="361"/>
      <c r="C3" s="362"/>
      <c r="D3" s="363"/>
      <c r="E3" s="360"/>
    </row>
    <row r="4" spans="1:17" ht="20.399999999999999">
      <c r="A4" s="364"/>
      <c r="B4" s="364"/>
      <c r="C4" s="364"/>
      <c r="D4" s="365"/>
      <c r="E4" s="262" t="s">
        <v>375</v>
      </c>
      <c r="F4" s="262" t="s">
        <v>322</v>
      </c>
      <c r="G4" s="262" t="s">
        <v>375</v>
      </c>
      <c r="H4" s="262" t="s">
        <v>322</v>
      </c>
    </row>
    <row r="5" spans="1:17" ht="21">
      <c r="A5" s="364"/>
      <c r="B5" s="364"/>
      <c r="C5" s="364"/>
      <c r="D5" s="366" t="s">
        <v>676</v>
      </c>
      <c r="E5" s="367" t="s">
        <v>2840</v>
      </c>
      <c r="F5" s="367" t="s">
        <v>2840</v>
      </c>
      <c r="G5" s="368" t="s">
        <v>1130</v>
      </c>
      <c r="H5" s="368" t="s">
        <v>1130</v>
      </c>
    </row>
    <row r="6" spans="1:17" ht="24.6">
      <c r="A6" s="810" t="s">
        <v>2841</v>
      </c>
      <c r="B6" s="810"/>
      <c r="C6" s="810"/>
      <c r="D6" s="810"/>
      <c r="E6" s="369"/>
      <c r="F6" s="23"/>
      <c r="G6" s="23"/>
    </row>
    <row r="7" spans="1:17" ht="21">
      <c r="A7" s="370" t="s">
        <v>2842</v>
      </c>
      <c r="B7" s="371"/>
      <c r="C7" s="371"/>
      <c r="D7" s="372" t="s">
        <v>45</v>
      </c>
      <c r="E7" s="373" t="s">
        <v>2843</v>
      </c>
      <c r="F7" s="373" t="s">
        <v>2843</v>
      </c>
      <c r="G7" s="731">
        <f>ROUND(N7*2,1)/2</f>
        <v>96.8</v>
      </c>
      <c r="H7" s="731">
        <f>ROUND(J7*2,1)/2</f>
        <v>106.5</v>
      </c>
      <c r="I7" s="809"/>
      <c r="J7" s="733">
        <f>G7*1.1</f>
        <v>106.48</v>
      </c>
      <c r="N7" s="816">
        <f>Q7*M2</f>
        <v>96.800000000000011</v>
      </c>
      <c r="Q7" s="733">
        <v>88</v>
      </c>
    </row>
    <row r="8" spans="1:17" ht="21">
      <c r="A8" s="374" t="s">
        <v>2844</v>
      </c>
      <c r="B8" s="371"/>
      <c r="C8" s="371"/>
      <c r="D8" s="372" t="s">
        <v>45</v>
      </c>
      <c r="E8" s="373" t="s">
        <v>2845</v>
      </c>
      <c r="F8" s="373" t="s">
        <v>2845</v>
      </c>
      <c r="G8" s="731">
        <f t="shared" ref="G8:G71" si="0">ROUND(N8*2,1)/2</f>
        <v>469.75</v>
      </c>
      <c r="H8" s="731">
        <f t="shared" ref="H8:H54" si="1">ROUND(J8*2,1)/2</f>
        <v>516.75</v>
      </c>
      <c r="I8" s="809"/>
      <c r="J8" s="733">
        <f t="shared" ref="J8:J54" si="2">G8*1.1</f>
        <v>516.72500000000002</v>
      </c>
      <c r="K8" s="384"/>
      <c r="N8" s="816">
        <f>Q8*M2</f>
        <v>469.75500000000005</v>
      </c>
      <c r="Q8" s="733">
        <v>427.05</v>
      </c>
    </row>
    <row r="9" spans="1:17" ht="24.6">
      <c r="A9" s="810" t="s">
        <v>2846</v>
      </c>
      <c r="B9" s="810"/>
      <c r="C9" s="810"/>
      <c r="D9" s="810"/>
      <c r="E9" s="369"/>
      <c r="F9" s="373"/>
      <c r="G9" s="731"/>
      <c r="H9" s="731"/>
      <c r="I9" s="733"/>
      <c r="J9" s="733"/>
      <c r="N9" s="816">
        <f>Q9*M2</f>
        <v>0</v>
      </c>
      <c r="Q9" s="733"/>
    </row>
    <row r="10" spans="1:17" ht="21">
      <c r="A10" s="370" t="s">
        <v>2842</v>
      </c>
      <c r="B10" s="371"/>
      <c r="C10" s="371"/>
      <c r="D10" s="372" t="s">
        <v>45</v>
      </c>
      <c r="E10" s="375" t="s">
        <v>2847</v>
      </c>
      <c r="F10" s="373" t="s">
        <v>2847</v>
      </c>
      <c r="G10" s="731">
        <f t="shared" si="0"/>
        <v>128.05000000000001</v>
      </c>
      <c r="H10" s="731">
        <f t="shared" si="1"/>
        <v>140.85</v>
      </c>
      <c r="I10" s="809"/>
      <c r="J10" s="733">
        <f t="shared" si="2"/>
        <v>140.85500000000002</v>
      </c>
      <c r="N10" s="816">
        <f>Q10*M2</f>
        <v>128.04000000000002</v>
      </c>
      <c r="P10" s="733"/>
      <c r="Q10" s="733">
        <v>116.4</v>
      </c>
    </row>
    <row r="11" spans="1:17" ht="21">
      <c r="A11" s="374" t="s">
        <v>2844</v>
      </c>
      <c r="B11" s="371"/>
      <c r="C11" s="371"/>
      <c r="D11" s="372" t="s">
        <v>45</v>
      </c>
      <c r="E11" s="375" t="s">
        <v>2848</v>
      </c>
      <c r="F11" s="373" t="s">
        <v>2848</v>
      </c>
      <c r="G11" s="731">
        <f t="shared" si="0"/>
        <v>673.9</v>
      </c>
      <c r="H11" s="731">
        <f t="shared" si="1"/>
        <v>741.3</v>
      </c>
      <c r="I11" s="809"/>
      <c r="J11" s="733">
        <f t="shared" si="2"/>
        <v>741.29000000000008</v>
      </c>
      <c r="K11" s="384"/>
      <c r="N11" s="816">
        <f>Q11*M2</f>
        <v>673.91500000000008</v>
      </c>
      <c r="Q11" s="733">
        <v>612.65</v>
      </c>
    </row>
    <row r="12" spans="1:17" ht="24.6">
      <c r="A12" s="810" t="s">
        <v>2849</v>
      </c>
      <c r="B12" s="810"/>
      <c r="C12" s="810"/>
      <c r="D12" s="810"/>
      <c r="E12" s="23"/>
      <c r="F12" s="373"/>
      <c r="G12" s="731"/>
      <c r="H12" s="731"/>
      <c r="I12" s="733"/>
      <c r="J12" s="733"/>
      <c r="N12" s="816"/>
      <c r="Q12" s="733"/>
    </row>
    <row r="13" spans="1:17" ht="21">
      <c r="A13" s="370" t="s">
        <v>2842</v>
      </c>
      <c r="B13" s="376"/>
      <c r="C13" s="376"/>
      <c r="D13" s="377" t="s">
        <v>45</v>
      </c>
      <c r="E13" s="378" t="s">
        <v>2850</v>
      </c>
      <c r="F13" s="373" t="s">
        <v>2850</v>
      </c>
      <c r="G13" s="731">
        <f t="shared" si="0"/>
        <v>122.3</v>
      </c>
      <c r="H13" s="731">
        <f t="shared" si="1"/>
        <v>134.55000000000001</v>
      </c>
      <c r="I13" s="733"/>
      <c r="J13" s="733">
        <f t="shared" si="2"/>
        <v>134.53</v>
      </c>
      <c r="N13" s="816">
        <f>Q13*M2</f>
        <v>122.32000000000001</v>
      </c>
      <c r="P13" s="733"/>
      <c r="Q13" s="733">
        <v>111.2</v>
      </c>
    </row>
    <row r="14" spans="1:17" ht="21">
      <c r="A14" s="374" t="s">
        <v>2844</v>
      </c>
      <c r="B14" s="376"/>
      <c r="C14" s="376"/>
      <c r="D14" s="377" t="s">
        <v>45</v>
      </c>
      <c r="E14" s="378" t="s">
        <v>2851</v>
      </c>
      <c r="F14" s="373" t="s">
        <v>2851</v>
      </c>
      <c r="G14" s="731">
        <f t="shared" si="0"/>
        <v>711.1</v>
      </c>
      <c r="H14" s="731">
        <f t="shared" si="1"/>
        <v>782.2</v>
      </c>
      <c r="I14" s="733"/>
      <c r="J14" s="733">
        <f t="shared" si="2"/>
        <v>782.21</v>
      </c>
      <c r="K14" s="384"/>
      <c r="N14" s="816">
        <f>Q14*M2</f>
        <v>711.09500000000014</v>
      </c>
      <c r="Q14" s="733">
        <v>646.45000000000005</v>
      </c>
    </row>
    <row r="15" spans="1:17" ht="24.6">
      <c r="A15" s="810" t="s">
        <v>2852</v>
      </c>
      <c r="B15" s="810"/>
      <c r="C15" s="810"/>
      <c r="D15" s="810"/>
      <c r="E15" s="23"/>
      <c r="F15" s="373"/>
      <c r="G15" s="731"/>
      <c r="H15" s="731"/>
      <c r="I15" s="733"/>
      <c r="J15" s="733"/>
      <c r="N15" s="816"/>
      <c r="Q15" s="733"/>
    </row>
    <row r="16" spans="1:17" ht="21">
      <c r="A16" s="370" t="s">
        <v>2842</v>
      </c>
      <c r="B16" s="376"/>
      <c r="C16" s="376"/>
      <c r="D16" s="377" t="s">
        <v>45</v>
      </c>
      <c r="E16" s="378" t="s">
        <v>2853</v>
      </c>
      <c r="F16" s="373" t="s">
        <v>2853</v>
      </c>
      <c r="G16" s="731">
        <f t="shared" si="0"/>
        <v>188</v>
      </c>
      <c r="H16" s="731">
        <f t="shared" si="1"/>
        <v>206.8</v>
      </c>
      <c r="I16" s="733"/>
      <c r="J16" s="733">
        <f t="shared" si="2"/>
        <v>206.8</v>
      </c>
      <c r="N16" s="816">
        <f>Q16*M2</f>
        <v>187.99</v>
      </c>
      <c r="Q16" s="733">
        <v>170.9</v>
      </c>
    </row>
    <row r="17" spans="1:17" ht="21">
      <c r="A17" s="374" t="s">
        <v>2844</v>
      </c>
      <c r="B17" s="376"/>
      <c r="C17" s="376"/>
      <c r="D17" s="377" t="s">
        <v>45</v>
      </c>
      <c r="E17" s="378" t="s">
        <v>2854</v>
      </c>
      <c r="F17" s="373" t="s">
        <v>2854</v>
      </c>
      <c r="G17" s="731">
        <f t="shared" si="0"/>
        <v>1103.25</v>
      </c>
      <c r="H17" s="731">
        <f t="shared" si="1"/>
        <v>1213.5999999999999</v>
      </c>
      <c r="I17" s="733"/>
      <c r="J17" s="733">
        <f t="shared" si="2"/>
        <v>1213.575</v>
      </c>
      <c r="K17" s="384"/>
      <c r="N17" s="816">
        <f>Q17*M2</f>
        <v>1103.2450000000001</v>
      </c>
      <c r="Q17" s="733">
        <v>1002.95</v>
      </c>
    </row>
    <row r="18" spans="1:17" ht="24.6">
      <c r="A18" s="810" t="s">
        <v>2855</v>
      </c>
      <c r="B18" s="810"/>
      <c r="C18" s="810"/>
      <c r="D18" s="810"/>
      <c r="E18" s="23"/>
      <c r="F18" s="373"/>
      <c r="G18" s="731"/>
      <c r="H18" s="731"/>
      <c r="I18" s="733"/>
      <c r="J18" s="733"/>
      <c r="N18" s="816"/>
      <c r="Q18" s="733"/>
    </row>
    <row r="19" spans="1:17" ht="21">
      <c r="A19" s="379">
        <v>750</v>
      </c>
      <c r="B19" s="380" t="s">
        <v>2754</v>
      </c>
      <c r="C19" s="381" t="s">
        <v>2856</v>
      </c>
      <c r="D19" s="377" t="s">
        <v>58</v>
      </c>
      <c r="E19" s="378" t="s">
        <v>2857</v>
      </c>
      <c r="F19" s="373" t="s">
        <v>2857</v>
      </c>
      <c r="G19" s="731">
        <f t="shared" si="0"/>
        <v>75.150000000000006</v>
      </c>
      <c r="H19" s="731">
        <f t="shared" si="1"/>
        <v>82.65</v>
      </c>
      <c r="I19" s="733"/>
      <c r="J19" s="733">
        <f t="shared" si="2"/>
        <v>82.665000000000006</v>
      </c>
      <c r="N19" s="816">
        <f>Q19*M2</f>
        <v>75.13000000000001</v>
      </c>
      <c r="Q19" s="733">
        <v>68.3</v>
      </c>
    </row>
    <row r="20" spans="1:17" ht="21">
      <c r="A20" s="379">
        <v>1350</v>
      </c>
      <c r="B20" s="380" t="s">
        <v>2754</v>
      </c>
      <c r="C20" s="381" t="s">
        <v>2856</v>
      </c>
      <c r="D20" s="377" t="s">
        <v>58</v>
      </c>
      <c r="E20" s="378" t="s">
        <v>2858</v>
      </c>
      <c r="F20" s="373" t="s">
        <v>2858</v>
      </c>
      <c r="G20" s="731">
        <f t="shared" si="0"/>
        <v>114.05</v>
      </c>
      <c r="H20" s="731">
        <f t="shared" si="1"/>
        <v>125.45</v>
      </c>
      <c r="I20" s="733"/>
      <c r="J20" s="733">
        <f t="shared" si="2"/>
        <v>125.45500000000001</v>
      </c>
      <c r="N20" s="816">
        <f>Q20*M2</f>
        <v>114.07000000000001</v>
      </c>
      <c r="Q20" s="733">
        <v>103.7</v>
      </c>
    </row>
    <row r="21" spans="1:17" ht="21">
      <c r="A21" s="379"/>
      <c r="B21" s="380" t="s">
        <v>2754</v>
      </c>
      <c r="C21" s="381" t="s">
        <v>2859</v>
      </c>
      <c r="D21" s="377" t="s">
        <v>58</v>
      </c>
      <c r="E21" s="378"/>
      <c r="F21" s="373"/>
      <c r="G21" s="731"/>
      <c r="H21" s="731"/>
      <c r="I21" s="733"/>
      <c r="J21" s="733"/>
      <c r="N21" s="816"/>
      <c r="Q21" s="733"/>
    </row>
    <row r="22" spans="1:17" ht="21">
      <c r="A22" s="370" t="s">
        <v>2844</v>
      </c>
      <c r="B22" s="381"/>
      <c r="C22" s="381"/>
      <c r="D22" s="377" t="s">
        <v>45</v>
      </c>
      <c r="E22" s="382" t="s">
        <v>2860</v>
      </c>
      <c r="F22" s="373" t="s">
        <v>2860</v>
      </c>
      <c r="G22" s="731">
        <f t="shared" si="0"/>
        <v>433.3</v>
      </c>
      <c r="H22" s="731">
        <f t="shared" si="1"/>
        <v>476.65</v>
      </c>
      <c r="I22" s="733"/>
      <c r="J22" s="733">
        <f t="shared" si="2"/>
        <v>476.63000000000005</v>
      </c>
      <c r="K22" s="384"/>
      <c r="N22" s="816">
        <f>Q22*M2</f>
        <v>433.29</v>
      </c>
      <c r="Q22" s="733">
        <v>393.9</v>
      </c>
    </row>
    <row r="23" spans="1:17" ht="24.6">
      <c r="A23" s="810" t="s">
        <v>2861</v>
      </c>
      <c r="B23" s="810"/>
      <c r="C23" s="810"/>
      <c r="D23" s="810"/>
      <c r="E23" s="23"/>
      <c r="F23" s="373"/>
      <c r="G23" s="731"/>
      <c r="H23" s="731"/>
      <c r="I23" s="733"/>
      <c r="J23" s="733"/>
      <c r="N23" s="816"/>
      <c r="Q23" s="733"/>
    </row>
    <row r="24" spans="1:17" ht="21">
      <c r="A24" s="379">
        <v>750</v>
      </c>
      <c r="B24" s="380" t="s">
        <v>2754</v>
      </c>
      <c r="C24" s="381" t="s">
        <v>2856</v>
      </c>
      <c r="D24" s="377" t="s">
        <v>58</v>
      </c>
      <c r="E24" s="378" t="s">
        <v>2862</v>
      </c>
      <c r="F24" s="373" t="s">
        <v>2862</v>
      </c>
      <c r="G24" s="731">
        <f t="shared" si="0"/>
        <v>124.3</v>
      </c>
      <c r="H24" s="731">
        <f t="shared" si="1"/>
        <v>136.75</v>
      </c>
      <c r="I24" s="733"/>
      <c r="J24" s="733">
        <f t="shared" si="2"/>
        <v>136.73000000000002</v>
      </c>
      <c r="N24" s="816">
        <f>Q24*M2</f>
        <v>124.30000000000001</v>
      </c>
      <c r="Q24" s="733">
        <v>113</v>
      </c>
    </row>
    <row r="25" spans="1:17" ht="21">
      <c r="A25" s="379">
        <v>1350</v>
      </c>
      <c r="B25" s="380" t="s">
        <v>2754</v>
      </c>
      <c r="C25" s="381" t="s">
        <v>2856</v>
      </c>
      <c r="D25" s="377" t="s">
        <v>58</v>
      </c>
      <c r="E25" s="378" t="s">
        <v>2863</v>
      </c>
      <c r="F25" s="373" t="s">
        <v>2863</v>
      </c>
      <c r="G25" s="731">
        <f t="shared" si="0"/>
        <v>191.4</v>
      </c>
      <c r="H25" s="731">
        <f t="shared" si="1"/>
        <v>210.55</v>
      </c>
      <c r="I25" s="733"/>
      <c r="J25" s="733">
        <f t="shared" si="2"/>
        <v>210.54000000000002</v>
      </c>
      <c r="N25" s="816">
        <f>Q25*M2</f>
        <v>191.4</v>
      </c>
      <c r="Q25" s="733">
        <v>174</v>
      </c>
    </row>
    <row r="26" spans="1:17" ht="21">
      <c r="A26" s="379">
        <v>1750</v>
      </c>
      <c r="B26" s="380" t="s">
        <v>2754</v>
      </c>
      <c r="C26" s="381" t="s">
        <v>2856</v>
      </c>
      <c r="D26" s="377" t="s">
        <v>58</v>
      </c>
      <c r="E26" s="378" t="s">
        <v>2864</v>
      </c>
      <c r="F26" s="373" t="s">
        <v>2864</v>
      </c>
      <c r="G26" s="731">
        <f t="shared" si="0"/>
        <v>237.25</v>
      </c>
      <c r="H26" s="731">
        <f t="shared" si="1"/>
        <v>261</v>
      </c>
      <c r="I26" s="733"/>
      <c r="J26" s="733">
        <f t="shared" si="2"/>
        <v>260.97500000000002</v>
      </c>
      <c r="N26" s="816">
        <f>Q26*M2</f>
        <v>237.27</v>
      </c>
      <c r="Q26" s="733">
        <v>215.7</v>
      </c>
    </row>
    <row r="27" spans="1:17" ht="21">
      <c r="A27" s="379">
        <v>2150</v>
      </c>
      <c r="B27" s="380" t="s">
        <v>2754</v>
      </c>
      <c r="C27" s="381" t="s">
        <v>2856</v>
      </c>
      <c r="D27" s="377" t="s">
        <v>58</v>
      </c>
      <c r="E27" s="378" t="s">
        <v>2865</v>
      </c>
      <c r="F27" s="373" t="s">
        <v>2865</v>
      </c>
      <c r="G27" s="731">
        <f t="shared" si="0"/>
        <v>283.8</v>
      </c>
      <c r="H27" s="731">
        <f t="shared" si="1"/>
        <v>312.2</v>
      </c>
      <c r="I27" s="733"/>
      <c r="J27" s="733">
        <f t="shared" si="2"/>
        <v>312.18000000000006</v>
      </c>
      <c r="N27" s="816">
        <f>Q27*M2</f>
        <v>283.8</v>
      </c>
      <c r="Q27" s="733">
        <v>258</v>
      </c>
    </row>
    <row r="28" spans="1:17" ht="21">
      <c r="A28" s="379"/>
      <c r="B28" s="380" t="s">
        <v>2754</v>
      </c>
      <c r="C28" s="381" t="s">
        <v>2859</v>
      </c>
      <c r="D28" s="377" t="s">
        <v>58</v>
      </c>
      <c r="E28" s="378"/>
      <c r="F28" s="373"/>
      <c r="G28" s="731"/>
      <c r="H28" s="731"/>
      <c r="I28" s="733"/>
      <c r="J28" s="733"/>
      <c r="N28" s="816"/>
      <c r="Q28" s="733"/>
    </row>
    <row r="29" spans="1:17" ht="21">
      <c r="A29" s="370" t="s">
        <v>2844</v>
      </c>
      <c r="B29" s="381"/>
      <c r="C29" s="381"/>
      <c r="D29" s="377" t="s">
        <v>45</v>
      </c>
      <c r="E29" s="378" t="s">
        <v>2866</v>
      </c>
      <c r="F29" s="373" t="s">
        <v>2866</v>
      </c>
      <c r="G29" s="731">
        <f t="shared" si="0"/>
        <v>705.4</v>
      </c>
      <c r="H29" s="731">
        <f t="shared" si="1"/>
        <v>775.95</v>
      </c>
      <c r="I29" s="733"/>
      <c r="J29" s="733">
        <f t="shared" si="2"/>
        <v>775.94</v>
      </c>
      <c r="K29" s="384"/>
      <c r="N29" s="816">
        <f>Q29*M2</f>
        <v>705.37500000000011</v>
      </c>
      <c r="Q29" s="733">
        <v>641.25</v>
      </c>
    </row>
    <row r="30" spans="1:17" ht="24.6">
      <c r="A30" s="810" t="s">
        <v>2867</v>
      </c>
      <c r="B30" s="810"/>
      <c r="C30" s="810"/>
      <c r="D30" s="810"/>
      <c r="E30" s="383"/>
      <c r="F30" s="373"/>
      <c r="G30" s="731"/>
      <c r="H30" s="731"/>
      <c r="I30" s="733"/>
      <c r="J30" s="733"/>
      <c r="N30" s="816"/>
      <c r="Q30" s="733"/>
    </row>
    <row r="31" spans="1:17" ht="21">
      <c r="A31" s="379">
        <v>750</v>
      </c>
      <c r="B31" s="380" t="s">
        <v>2754</v>
      </c>
      <c r="C31" s="381" t="s">
        <v>2856</v>
      </c>
      <c r="D31" s="377" t="s">
        <v>58</v>
      </c>
      <c r="E31" s="378" t="s">
        <v>2868</v>
      </c>
      <c r="F31" s="373" t="s">
        <v>2868</v>
      </c>
      <c r="G31" s="731">
        <f t="shared" si="0"/>
        <v>141.9</v>
      </c>
      <c r="H31" s="731">
        <f t="shared" si="1"/>
        <v>156.1</v>
      </c>
      <c r="I31" s="733"/>
      <c r="J31" s="733">
        <f t="shared" si="2"/>
        <v>156.09000000000003</v>
      </c>
      <c r="N31" s="816">
        <f>Q31*M2</f>
        <v>141.9</v>
      </c>
      <c r="Q31" s="733">
        <v>129</v>
      </c>
    </row>
    <row r="32" spans="1:17" ht="21">
      <c r="A32" s="379">
        <v>1350</v>
      </c>
      <c r="B32" s="380" t="s">
        <v>2754</v>
      </c>
      <c r="C32" s="381" t="s">
        <v>2856</v>
      </c>
      <c r="D32" s="377" t="s">
        <v>58</v>
      </c>
      <c r="E32" s="378" t="s">
        <v>2869</v>
      </c>
      <c r="F32" s="373" t="s">
        <v>2869</v>
      </c>
      <c r="G32" s="731">
        <f t="shared" si="0"/>
        <v>222.1</v>
      </c>
      <c r="H32" s="731">
        <f t="shared" si="1"/>
        <v>244.3</v>
      </c>
      <c r="I32" s="733"/>
      <c r="J32" s="733">
        <f t="shared" si="2"/>
        <v>244.31</v>
      </c>
      <c r="N32" s="816">
        <f>Q32*M2</f>
        <v>222.09000000000003</v>
      </c>
      <c r="Q32" s="733">
        <v>201.9</v>
      </c>
    </row>
    <row r="33" spans="1:17" ht="21">
      <c r="A33" s="379">
        <v>1750</v>
      </c>
      <c r="B33" s="380" t="s">
        <v>2754</v>
      </c>
      <c r="C33" s="381" t="s">
        <v>2856</v>
      </c>
      <c r="D33" s="377" t="s">
        <v>58</v>
      </c>
      <c r="E33" s="378" t="s">
        <v>2870</v>
      </c>
      <c r="F33" s="373" t="s">
        <v>2870</v>
      </c>
      <c r="G33" s="731">
        <f t="shared" si="0"/>
        <v>276.75</v>
      </c>
      <c r="H33" s="731">
        <f t="shared" si="1"/>
        <v>304.45</v>
      </c>
      <c r="I33" s="733"/>
      <c r="J33" s="733">
        <f t="shared" si="2"/>
        <v>304.42500000000001</v>
      </c>
      <c r="N33" s="816">
        <f>Q33*M2</f>
        <v>276.76</v>
      </c>
      <c r="Q33" s="733">
        <v>251.6</v>
      </c>
    </row>
    <row r="34" spans="1:17" ht="21">
      <c r="A34" s="379">
        <v>2150</v>
      </c>
      <c r="B34" s="380" t="s">
        <v>2754</v>
      </c>
      <c r="C34" s="381" t="s">
        <v>2856</v>
      </c>
      <c r="D34" s="377" t="s">
        <v>58</v>
      </c>
      <c r="E34" s="378" t="s">
        <v>2871</v>
      </c>
      <c r="F34" s="373" t="s">
        <v>2871</v>
      </c>
      <c r="G34" s="731">
        <f t="shared" si="0"/>
        <v>332.4</v>
      </c>
      <c r="H34" s="731">
        <f t="shared" si="1"/>
        <v>365.65</v>
      </c>
      <c r="I34" s="733"/>
      <c r="J34" s="733">
        <f t="shared" si="2"/>
        <v>365.64</v>
      </c>
      <c r="N34" s="816">
        <f>Q34*M2</f>
        <v>332.42</v>
      </c>
      <c r="Q34" s="733">
        <v>302.2</v>
      </c>
    </row>
    <row r="35" spans="1:17" ht="21">
      <c r="A35" s="379"/>
      <c r="B35" s="380" t="s">
        <v>2754</v>
      </c>
      <c r="C35" s="381" t="s">
        <v>2859</v>
      </c>
      <c r="D35" s="377" t="s">
        <v>58</v>
      </c>
      <c r="E35" s="378"/>
      <c r="F35" s="373"/>
      <c r="G35" s="731"/>
      <c r="H35" s="731"/>
      <c r="I35" s="733"/>
      <c r="J35" s="733"/>
      <c r="N35" s="816"/>
      <c r="Q35" s="733"/>
    </row>
    <row r="36" spans="1:17" ht="21">
      <c r="A36" s="370" t="s">
        <v>2844</v>
      </c>
      <c r="B36" s="381"/>
      <c r="C36" s="381"/>
      <c r="D36" s="377" t="s">
        <v>45</v>
      </c>
      <c r="E36" s="378" t="s">
        <v>2872</v>
      </c>
      <c r="F36" s="373" t="s">
        <v>2872</v>
      </c>
      <c r="G36" s="731">
        <f t="shared" si="0"/>
        <v>850.85</v>
      </c>
      <c r="H36" s="731">
        <f t="shared" si="1"/>
        <v>935.95</v>
      </c>
      <c r="I36" s="733"/>
      <c r="J36" s="733">
        <f t="shared" si="2"/>
        <v>935.93500000000006</v>
      </c>
      <c r="K36" s="384"/>
      <c r="N36" s="816">
        <f>Q36*M2</f>
        <v>850.85</v>
      </c>
      <c r="Q36" s="733">
        <v>773.5</v>
      </c>
    </row>
    <row r="37" spans="1:17" ht="24.6">
      <c r="A37" s="810" t="s">
        <v>4126</v>
      </c>
      <c r="B37" s="810"/>
      <c r="C37" s="810"/>
      <c r="D37" s="810"/>
      <c r="E37" s="23"/>
      <c r="F37" s="373"/>
      <c r="G37" s="731"/>
      <c r="H37" s="731"/>
      <c r="I37" s="733"/>
      <c r="J37" s="733"/>
      <c r="N37" s="816"/>
      <c r="Q37" s="733"/>
    </row>
    <row r="38" spans="1:17" ht="21">
      <c r="A38" s="379">
        <v>750</v>
      </c>
      <c r="B38" s="380" t="s">
        <v>2754</v>
      </c>
      <c r="C38" s="381" t="s">
        <v>2856</v>
      </c>
      <c r="D38" s="377" t="s">
        <v>58</v>
      </c>
      <c r="E38" s="378" t="s">
        <v>4127</v>
      </c>
      <c r="F38" s="378" t="s">
        <v>4127</v>
      </c>
      <c r="G38" s="731">
        <f t="shared" si="0"/>
        <v>87.2</v>
      </c>
      <c r="H38" s="731">
        <f t="shared" si="1"/>
        <v>95.9</v>
      </c>
      <c r="I38" s="733"/>
      <c r="J38" s="733">
        <f t="shared" si="2"/>
        <v>95.920000000000016</v>
      </c>
      <c r="N38" s="816">
        <f>Q38*M2</f>
        <v>87.175000000000011</v>
      </c>
      <c r="Q38" s="733">
        <v>79.25</v>
      </c>
    </row>
    <row r="39" spans="1:17" ht="21">
      <c r="A39" s="379">
        <v>1350</v>
      </c>
      <c r="B39" s="380" t="s">
        <v>2754</v>
      </c>
      <c r="C39" s="381" t="s">
        <v>2856</v>
      </c>
      <c r="D39" s="377" t="s">
        <v>58</v>
      </c>
      <c r="E39" s="378" t="s">
        <v>4128</v>
      </c>
      <c r="F39" s="378" t="s">
        <v>4128</v>
      </c>
      <c r="G39" s="731">
        <f t="shared" si="0"/>
        <v>137.44999999999999</v>
      </c>
      <c r="H39" s="731">
        <f t="shared" si="1"/>
        <v>151.19999999999999</v>
      </c>
      <c r="I39" s="733"/>
      <c r="J39" s="733">
        <f t="shared" si="2"/>
        <v>151.19499999999999</v>
      </c>
      <c r="N39" s="816">
        <f>Q39*M2</f>
        <v>137.44500000000002</v>
      </c>
      <c r="Q39" s="733">
        <v>124.95</v>
      </c>
    </row>
    <row r="40" spans="1:17" ht="21">
      <c r="A40" s="370" t="s">
        <v>2844</v>
      </c>
      <c r="B40" s="381"/>
      <c r="C40" s="381"/>
      <c r="D40" s="377" t="s">
        <v>58</v>
      </c>
      <c r="E40" s="378" t="s">
        <v>4131</v>
      </c>
      <c r="F40" s="378" t="s">
        <v>4131</v>
      </c>
      <c r="G40" s="731">
        <f t="shared" si="0"/>
        <v>568.5</v>
      </c>
      <c r="H40" s="731">
        <f t="shared" si="1"/>
        <v>625.35</v>
      </c>
      <c r="I40" s="733"/>
      <c r="J40" s="733">
        <f t="shared" si="2"/>
        <v>625.35</v>
      </c>
      <c r="N40" s="816">
        <f>Q40*M2</f>
        <v>568.48</v>
      </c>
      <c r="Q40" s="733">
        <v>516.79999999999995</v>
      </c>
    </row>
    <row r="41" spans="1:17" ht="24.6">
      <c r="A41" s="810" t="s">
        <v>2873</v>
      </c>
      <c r="B41" s="810"/>
      <c r="C41" s="810"/>
      <c r="D41" s="810"/>
      <c r="E41" s="23"/>
      <c r="F41" s="373"/>
      <c r="G41" s="731"/>
      <c r="H41" s="731"/>
      <c r="I41" s="733"/>
      <c r="J41" s="733"/>
      <c r="N41" s="816"/>
      <c r="Q41" s="733"/>
    </row>
    <row r="42" spans="1:17" ht="21">
      <c r="A42" s="379">
        <v>750</v>
      </c>
      <c r="B42" s="380" t="s">
        <v>2754</v>
      </c>
      <c r="C42" s="381" t="s">
        <v>2856</v>
      </c>
      <c r="D42" s="377" t="s">
        <v>58</v>
      </c>
      <c r="E42" s="378" t="s">
        <v>2874</v>
      </c>
      <c r="F42" s="373" t="s">
        <v>2874</v>
      </c>
      <c r="G42" s="731">
        <f t="shared" si="0"/>
        <v>134.1</v>
      </c>
      <c r="H42" s="731">
        <f t="shared" si="1"/>
        <v>147.5</v>
      </c>
      <c r="I42" s="733"/>
      <c r="J42" s="733">
        <f t="shared" si="2"/>
        <v>147.51000000000002</v>
      </c>
      <c r="N42" s="816">
        <f>Q42*M2</f>
        <v>134.09</v>
      </c>
      <c r="Q42" s="733">
        <v>121.9</v>
      </c>
    </row>
    <row r="43" spans="1:17" ht="21">
      <c r="A43" s="379">
        <v>1350</v>
      </c>
      <c r="B43" s="380" t="s">
        <v>2754</v>
      </c>
      <c r="C43" s="381" t="s">
        <v>2856</v>
      </c>
      <c r="D43" s="377" t="s">
        <v>58</v>
      </c>
      <c r="E43" s="378" t="s">
        <v>2875</v>
      </c>
      <c r="F43" s="373" t="s">
        <v>2875</v>
      </c>
      <c r="G43" s="731">
        <f t="shared" si="0"/>
        <v>211.2</v>
      </c>
      <c r="H43" s="731">
        <f t="shared" si="1"/>
        <v>232.3</v>
      </c>
      <c r="I43" s="733"/>
      <c r="J43" s="733">
        <f t="shared" si="2"/>
        <v>232.32</v>
      </c>
      <c r="N43" s="816">
        <f>Q43*M2</f>
        <v>211.20000000000002</v>
      </c>
      <c r="Q43" s="733">
        <v>192</v>
      </c>
    </row>
    <row r="44" spans="1:17" ht="21">
      <c r="A44" s="379">
        <v>1750</v>
      </c>
      <c r="B44" s="380" t="s">
        <v>2754</v>
      </c>
      <c r="C44" s="381" t="s">
        <v>2856</v>
      </c>
      <c r="D44" s="377" t="s">
        <v>58</v>
      </c>
      <c r="E44" s="378" t="s">
        <v>2876</v>
      </c>
      <c r="F44" s="373" t="s">
        <v>2876</v>
      </c>
      <c r="G44" s="731">
        <f t="shared" si="0"/>
        <v>263.10000000000002</v>
      </c>
      <c r="H44" s="731">
        <f t="shared" si="1"/>
        <v>289.39999999999998</v>
      </c>
      <c r="I44" s="733"/>
      <c r="J44" s="733">
        <f t="shared" si="2"/>
        <v>289.41000000000003</v>
      </c>
      <c r="N44" s="816">
        <f>Q44*M2</f>
        <v>263.12</v>
      </c>
      <c r="Q44" s="733">
        <v>239.2</v>
      </c>
    </row>
    <row r="45" spans="1:17" ht="21">
      <c r="A45" s="379">
        <v>2150</v>
      </c>
      <c r="B45" s="380" t="s">
        <v>2754</v>
      </c>
      <c r="C45" s="381" t="s">
        <v>2856</v>
      </c>
      <c r="D45" s="377" t="s">
        <v>58</v>
      </c>
      <c r="E45" s="378" t="s">
        <v>2877</v>
      </c>
      <c r="F45" s="373" t="s">
        <v>2877</v>
      </c>
      <c r="G45" s="731">
        <f t="shared" si="0"/>
        <v>315.05</v>
      </c>
      <c r="H45" s="731">
        <f t="shared" si="1"/>
        <v>346.55</v>
      </c>
      <c r="I45" s="733"/>
      <c r="J45" s="733">
        <f t="shared" si="2"/>
        <v>346.55500000000006</v>
      </c>
      <c r="N45" s="816">
        <f>Q45*M2</f>
        <v>315.04000000000002</v>
      </c>
      <c r="Q45" s="733">
        <v>286.39999999999998</v>
      </c>
    </row>
    <row r="46" spans="1:17" ht="21">
      <c r="A46" s="379"/>
      <c r="B46" s="380" t="s">
        <v>2754</v>
      </c>
      <c r="C46" s="381" t="s">
        <v>2859</v>
      </c>
      <c r="D46" s="377" t="s">
        <v>58</v>
      </c>
      <c r="E46" s="378"/>
      <c r="F46" s="373"/>
      <c r="G46" s="731"/>
      <c r="H46" s="731"/>
      <c r="I46" s="733"/>
      <c r="J46" s="733"/>
      <c r="N46" s="816"/>
      <c r="Q46" s="733"/>
    </row>
    <row r="47" spans="1:17" ht="21">
      <c r="A47" s="370" t="s">
        <v>2844</v>
      </c>
      <c r="B47" s="381"/>
      <c r="C47" s="381"/>
      <c r="D47" s="377" t="s">
        <v>45</v>
      </c>
      <c r="E47" s="378" t="s">
        <v>2878</v>
      </c>
      <c r="F47" s="373" t="s">
        <v>2878</v>
      </c>
      <c r="G47" s="731">
        <f t="shared" si="0"/>
        <v>893.75</v>
      </c>
      <c r="H47" s="731">
        <f t="shared" si="1"/>
        <v>983.15</v>
      </c>
      <c r="I47" s="733"/>
      <c r="J47" s="733">
        <f t="shared" si="2"/>
        <v>983.12500000000011</v>
      </c>
      <c r="K47" s="384"/>
      <c r="N47" s="816">
        <f>Q47*M2</f>
        <v>893.75000000000011</v>
      </c>
      <c r="Q47" s="733">
        <v>812.5</v>
      </c>
    </row>
    <row r="48" spans="1:17" ht="24.6">
      <c r="A48" s="810" t="s">
        <v>2879</v>
      </c>
      <c r="B48" s="810"/>
      <c r="C48" s="810"/>
      <c r="D48" s="810"/>
      <c r="E48" s="383"/>
      <c r="F48" s="373"/>
      <c r="G48" s="731"/>
      <c r="H48" s="731"/>
      <c r="I48" s="733"/>
      <c r="J48" s="733"/>
      <c r="N48" s="816"/>
      <c r="Q48" s="733"/>
    </row>
    <row r="49" spans="1:17" ht="21">
      <c r="A49" s="379">
        <v>750</v>
      </c>
      <c r="B49" s="380" t="s">
        <v>2754</v>
      </c>
      <c r="C49" s="381" t="s">
        <v>2856</v>
      </c>
      <c r="D49" s="377" t="s">
        <v>58</v>
      </c>
      <c r="E49" s="378" t="s">
        <v>2880</v>
      </c>
      <c r="F49" s="373" t="s">
        <v>2880</v>
      </c>
      <c r="G49" s="731">
        <f t="shared" si="0"/>
        <v>148.6</v>
      </c>
      <c r="H49" s="731">
        <f t="shared" si="1"/>
        <v>163.44999999999999</v>
      </c>
      <c r="I49" s="733"/>
      <c r="J49" s="733">
        <f t="shared" si="2"/>
        <v>163.46</v>
      </c>
      <c r="N49" s="816">
        <f>Q49*M2</f>
        <v>148.61000000000001</v>
      </c>
      <c r="Q49" s="733">
        <v>135.1</v>
      </c>
    </row>
    <row r="50" spans="1:17" ht="21">
      <c r="A50" s="379">
        <v>1350</v>
      </c>
      <c r="B50" s="380" t="s">
        <v>2754</v>
      </c>
      <c r="C50" s="381" t="s">
        <v>2856</v>
      </c>
      <c r="D50" s="377" t="s">
        <v>58</v>
      </c>
      <c r="E50" s="378" t="s">
        <v>2881</v>
      </c>
      <c r="F50" s="373" t="s">
        <v>2881</v>
      </c>
      <c r="G50" s="731">
        <f t="shared" si="0"/>
        <v>237.5</v>
      </c>
      <c r="H50" s="731">
        <f t="shared" si="1"/>
        <v>261.25</v>
      </c>
      <c r="I50" s="733"/>
      <c r="J50" s="733">
        <f t="shared" si="2"/>
        <v>261.25</v>
      </c>
      <c r="N50" s="816">
        <f>Q50*M2</f>
        <v>237.49000000000004</v>
      </c>
      <c r="Q50" s="733">
        <v>215.9</v>
      </c>
    </row>
    <row r="51" spans="1:17" ht="21">
      <c r="A51" s="379">
        <v>1750</v>
      </c>
      <c r="B51" s="380" t="s">
        <v>2754</v>
      </c>
      <c r="C51" s="381" t="s">
        <v>2856</v>
      </c>
      <c r="D51" s="377" t="s">
        <v>58</v>
      </c>
      <c r="E51" s="378" t="s">
        <v>2882</v>
      </c>
      <c r="F51" s="373" t="s">
        <v>2882</v>
      </c>
      <c r="G51" s="731">
        <f t="shared" si="0"/>
        <v>297.10000000000002</v>
      </c>
      <c r="H51" s="731">
        <f t="shared" si="1"/>
        <v>326.8</v>
      </c>
      <c r="I51" s="733"/>
      <c r="J51" s="733">
        <f t="shared" si="2"/>
        <v>326.81000000000006</v>
      </c>
      <c r="N51" s="816">
        <f>Q51*M2</f>
        <v>297.11000000000007</v>
      </c>
      <c r="Q51" s="733">
        <v>270.10000000000002</v>
      </c>
    </row>
    <row r="52" spans="1:17" ht="21">
      <c r="A52" s="379">
        <v>2150</v>
      </c>
      <c r="B52" s="380" t="s">
        <v>2754</v>
      </c>
      <c r="C52" s="381" t="s">
        <v>2856</v>
      </c>
      <c r="D52" s="377" t="s">
        <v>58</v>
      </c>
      <c r="E52" s="378" t="s">
        <v>2883</v>
      </c>
      <c r="F52" s="373" t="s">
        <v>2883</v>
      </c>
      <c r="G52" s="731">
        <f t="shared" si="0"/>
        <v>356.85</v>
      </c>
      <c r="H52" s="731">
        <f t="shared" si="1"/>
        <v>392.55</v>
      </c>
      <c r="I52" s="733"/>
      <c r="J52" s="733">
        <f t="shared" si="2"/>
        <v>392.53500000000008</v>
      </c>
      <c r="N52" s="816">
        <f>Q52*M2</f>
        <v>356.84000000000003</v>
      </c>
      <c r="Q52" s="733">
        <v>324.39999999999998</v>
      </c>
    </row>
    <row r="53" spans="1:17" ht="21">
      <c r="A53" s="379"/>
      <c r="B53" s="380" t="s">
        <v>2754</v>
      </c>
      <c r="C53" s="381" t="s">
        <v>2859</v>
      </c>
      <c r="D53" s="377" t="s">
        <v>58</v>
      </c>
      <c r="E53" s="378"/>
      <c r="F53" s="373"/>
      <c r="G53" s="731"/>
      <c r="H53" s="731"/>
      <c r="I53" s="733"/>
      <c r="J53" s="733"/>
      <c r="N53" s="816"/>
      <c r="Q53" s="733"/>
    </row>
    <row r="54" spans="1:17" ht="21">
      <c r="A54" s="370" t="s">
        <v>2844</v>
      </c>
      <c r="B54" s="381"/>
      <c r="C54" s="381"/>
      <c r="D54" s="377" t="s">
        <v>45</v>
      </c>
      <c r="E54" s="378" t="s">
        <v>2884</v>
      </c>
      <c r="F54" s="373" t="s">
        <v>2884</v>
      </c>
      <c r="G54" s="731">
        <f t="shared" si="0"/>
        <v>976.7</v>
      </c>
      <c r="H54" s="731">
        <f t="shared" si="1"/>
        <v>1074.3499999999999</v>
      </c>
      <c r="I54" s="733"/>
      <c r="J54" s="733">
        <f t="shared" si="2"/>
        <v>1074.3700000000001</v>
      </c>
      <c r="K54" s="384"/>
      <c r="N54" s="816">
        <f>Q54*M2</f>
        <v>976.69</v>
      </c>
      <c r="Q54" s="733">
        <v>887.9</v>
      </c>
    </row>
    <row r="55" spans="1:17" ht="24.6">
      <c r="A55" s="810" t="s">
        <v>2885</v>
      </c>
      <c r="B55" s="810"/>
      <c r="C55" s="810"/>
      <c r="D55" s="810"/>
      <c r="E55" s="23"/>
      <c r="F55" s="373"/>
      <c r="G55" s="731"/>
      <c r="H55" s="734"/>
      <c r="I55" s="733"/>
      <c r="J55" s="733"/>
      <c r="N55" s="816"/>
      <c r="Q55" s="733"/>
    </row>
    <row r="56" spans="1:17" ht="21">
      <c r="A56" s="379">
        <v>750</v>
      </c>
      <c r="B56" s="380" t="s">
        <v>2754</v>
      </c>
      <c r="C56" s="381" t="s">
        <v>2856</v>
      </c>
      <c r="D56" s="377" t="s">
        <v>58</v>
      </c>
      <c r="E56" s="378" t="s">
        <v>2886</v>
      </c>
      <c r="F56" s="373" t="s">
        <v>2886</v>
      </c>
      <c r="G56" s="731">
        <f t="shared" si="0"/>
        <v>342.55</v>
      </c>
      <c r="H56" s="734"/>
      <c r="I56" s="733"/>
      <c r="J56" s="733"/>
      <c r="N56" s="817">
        <f>Q56*M2</f>
        <v>342.5452800000001</v>
      </c>
      <c r="Q56" s="733">
        <v>311.40480000000008</v>
      </c>
    </row>
    <row r="57" spans="1:17" ht="21">
      <c r="A57" s="379">
        <v>1350</v>
      </c>
      <c r="B57" s="380" t="s">
        <v>2754</v>
      </c>
      <c r="C57" s="381" t="s">
        <v>2856</v>
      </c>
      <c r="D57" s="377" t="s">
        <v>58</v>
      </c>
      <c r="E57" s="378" t="s">
        <v>2887</v>
      </c>
      <c r="F57" s="373" t="s">
        <v>2887</v>
      </c>
      <c r="G57" s="731">
        <f t="shared" si="0"/>
        <v>420.4</v>
      </c>
      <c r="H57" s="734"/>
      <c r="I57" s="733"/>
      <c r="J57" s="733"/>
      <c r="N57" s="816">
        <f>Q57*M2</f>
        <v>420.42000000000007</v>
      </c>
      <c r="Q57" s="733">
        <v>382.20000000000005</v>
      </c>
    </row>
    <row r="58" spans="1:17" ht="21">
      <c r="A58" s="379">
        <v>1750</v>
      </c>
      <c r="B58" s="380" t="s">
        <v>2754</v>
      </c>
      <c r="C58" s="381" t="s">
        <v>2856</v>
      </c>
      <c r="D58" s="377" t="s">
        <v>58</v>
      </c>
      <c r="E58" s="378" t="s">
        <v>2888</v>
      </c>
      <c r="F58" s="373" t="s">
        <v>2888</v>
      </c>
      <c r="G58" s="731">
        <f t="shared" si="0"/>
        <v>472</v>
      </c>
      <c r="H58" s="734"/>
      <c r="I58" s="733"/>
      <c r="J58" s="733"/>
      <c r="N58" s="816">
        <f>Q58*M2</f>
        <v>472.01000000000005</v>
      </c>
      <c r="Q58" s="733">
        <v>429.1</v>
      </c>
    </row>
    <row r="59" spans="1:17" ht="21">
      <c r="A59" s="379">
        <v>2150</v>
      </c>
      <c r="B59" s="380" t="s">
        <v>2754</v>
      </c>
      <c r="C59" s="381" t="s">
        <v>2856</v>
      </c>
      <c r="D59" s="377" t="s">
        <v>58</v>
      </c>
      <c r="E59" s="378" t="s">
        <v>2889</v>
      </c>
      <c r="F59" s="373" t="s">
        <v>2889</v>
      </c>
      <c r="G59" s="731">
        <f t="shared" si="0"/>
        <v>513.25</v>
      </c>
      <c r="H59" s="734"/>
      <c r="I59" s="733"/>
      <c r="J59" s="733"/>
      <c r="N59" s="816">
        <f>Q59*M2</f>
        <v>513.2600000000001</v>
      </c>
      <c r="Q59" s="733">
        <v>466.6</v>
      </c>
    </row>
    <row r="60" spans="1:17" ht="21">
      <c r="A60" s="379"/>
      <c r="B60" s="380" t="s">
        <v>2754</v>
      </c>
      <c r="C60" s="381" t="s">
        <v>2859</v>
      </c>
      <c r="D60" s="377" t="s">
        <v>58</v>
      </c>
      <c r="E60" s="378"/>
      <c r="F60" s="373"/>
      <c r="G60" s="731"/>
      <c r="H60" s="734"/>
      <c r="I60" s="733"/>
      <c r="J60" s="733"/>
      <c r="N60" s="816"/>
      <c r="Q60" s="733"/>
    </row>
    <row r="61" spans="1:17" ht="24.6">
      <c r="A61" s="403" t="s">
        <v>2890</v>
      </c>
      <c r="B61" s="403"/>
      <c r="C61" s="403"/>
      <c r="D61" s="403"/>
      <c r="E61" s="384"/>
      <c r="F61" s="373"/>
      <c r="G61" s="731"/>
      <c r="H61" s="734"/>
      <c r="I61" s="733"/>
      <c r="J61" s="733"/>
      <c r="N61" s="816"/>
      <c r="Q61" s="733"/>
    </row>
    <row r="62" spans="1:17" ht="21">
      <c r="A62" s="385">
        <v>750</v>
      </c>
      <c r="B62" s="386" t="s">
        <v>2754</v>
      </c>
      <c r="C62" s="387" t="s">
        <v>2856</v>
      </c>
      <c r="D62" s="388" t="s">
        <v>58</v>
      </c>
      <c r="E62" s="389" t="s">
        <v>2891</v>
      </c>
      <c r="F62" s="373" t="s">
        <v>2891</v>
      </c>
      <c r="G62" s="731">
        <f t="shared" si="0"/>
        <v>374.1</v>
      </c>
      <c r="H62" s="734"/>
      <c r="I62" s="733"/>
      <c r="J62" s="733"/>
      <c r="N62" s="817">
        <f>Q62*M2</f>
        <v>374.10912000000008</v>
      </c>
      <c r="Q62" s="733">
        <v>340.09920000000005</v>
      </c>
    </row>
    <row r="63" spans="1:17" ht="21">
      <c r="A63" s="385">
        <v>1350</v>
      </c>
      <c r="B63" s="386" t="s">
        <v>2754</v>
      </c>
      <c r="C63" s="387" t="s">
        <v>2856</v>
      </c>
      <c r="D63" s="388" t="s">
        <v>58</v>
      </c>
      <c r="E63" s="389" t="s">
        <v>2892</v>
      </c>
      <c r="F63" s="373" t="s">
        <v>2892</v>
      </c>
      <c r="G63" s="731">
        <f t="shared" si="0"/>
        <v>469.7</v>
      </c>
      <c r="H63" s="734"/>
      <c r="I63" s="733"/>
      <c r="J63" s="733"/>
      <c r="N63" s="816">
        <f>Q63*M2</f>
        <v>469.70000000000005</v>
      </c>
      <c r="Q63" s="733">
        <v>427</v>
      </c>
    </row>
    <row r="64" spans="1:17" ht="21">
      <c r="A64" s="385">
        <v>1750</v>
      </c>
      <c r="B64" s="386" t="s">
        <v>2754</v>
      </c>
      <c r="C64" s="387" t="s">
        <v>2856</v>
      </c>
      <c r="D64" s="388" t="s">
        <v>58</v>
      </c>
      <c r="E64" s="389" t="s">
        <v>2893</v>
      </c>
      <c r="F64" s="373" t="s">
        <v>2893</v>
      </c>
      <c r="G64" s="731">
        <f t="shared" si="0"/>
        <v>533.5</v>
      </c>
      <c r="H64" s="734"/>
      <c r="I64" s="733"/>
      <c r="J64" s="733"/>
      <c r="N64" s="816">
        <f>Q64*M2</f>
        <v>533.5</v>
      </c>
      <c r="Q64" s="733">
        <v>485</v>
      </c>
    </row>
    <row r="65" spans="1:17" ht="21">
      <c r="A65" s="385">
        <v>2150</v>
      </c>
      <c r="B65" s="386" t="s">
        <v>2754</v>
      </c>
      <c r="C65" s="387" t="s">
        <v>2856</v>
      </c>
      <c r="D65" s="388" t="s">
        <v>58</v>
      </c>
      <c r="E65" s="389" t="s">
        <v>2894</v>
      </c>
      <c r="F65" s="373" t="s">
        <v>2894</v>
      </c>
      <c r="G65" s="731">
        <f t="shared" si="0"/>
        <v>597.1</v>
      </c>
      <c r="H65" s="734"/>
      <c r="I65" s="733"/>
      <c r="J65" s="733"/>
      <c r="N65" s="816">
        <f>Q65*M2</f>
        <v>597.08000000000004</v>
      </c>
      <c r="Q65" s="733">
        <v>542.79999999999995</v>
      </c>
    </row>
    <row r="66" spans="1:17" ht="21">
      <c r="A66" s="379"/>
      <c r="B66" s="380" t="s">
        <v>2754</v>
      </c>
      <c r="C66" s="381" t="s">
        <v>2859</v>
      </c>
      <c r="D66" s="377" t="s">
        <v>58</v>
      </c>
      <c r="E66" s="378"/>
      <c r="F66" s="373"/>
      <c r="G66" s="731"/>
      <c r="H66" s="734"/>
      <c r="I66" s="733"/>
      <c r="J66" s="733"/>
      <c r="N66" s="816"/>
      <c r="Q66" s="733"/>
    </row>
    <row r="67" spans="1:17" ht="24.6">
      <c r="A67" s="403" t="s">
        <v>2895</v>
      </c>
      <c r="B67" s="403"/>
      <c r="C67" s="403"/>
      <c r="D67" s="403"/>
      <c r="E67" s="384"/>
      <c r="F67" s="373"/>
      <c r="G67" s="731"/>
      <c r="H67" s="734"/>
      <c r="I67" s="733"/>
      <c r="J67" s="733"/>
      <c r="N67" s="816"/>
      <c r="Q67" s="733"/>
    </row>
    <row r="68" spans="1:17" ht="21">
      <c r="A68" s="385">
        <v>750</v>
      </c>
      <c r="B68" s="386" t="s">
        <v>2754</v>
      </c>
      <c r="C68" s="387" t="s">
        <v>2856</v>
      </c>
      <c r="D68" s="388" t="s">
        <v>58</v>
      </c>
      <c r="E68" s="389" t="s">
        <v>2896</v>
      </c>
      <c r="F68" s="373" t="s">
        <v>2896</v>
      </c>
      <c r="G68" s="731">
        <f t="shared" si="0"/>
        <v>498.4</v>
      </c>
      <c r="H68" s="734"/>
      <c r="I68" s="733"/>
      <c r="J68" s="733"/>
      <c r="N68" s="816">
        <f>Q68*M2</f>
        <v>498.41000000000008</v>
      </c>
      <c r="Q68" s="733">
        <v>453.1</v>
      </c>
    </row>
    <row r="69" spans="1:17" ht="21">
      <c r="A69" s="385">
        <v>1350</v>
      </c>
      <c r="B69" s="386" t="s">
        <v>2754</v>
      </c>
      <c r="C69" s="387" t="s">
        <v>2856</v>
      </c>
      <c r="D69" s="388" t="s">
        <v>58</v>
      </c>
      <c r="E69" s="389" t="s">
        <v>2897</v>
      </c>
      <c r="F69" s="373" t="s">
        <v>2897</v>
      </c>
      <c r="G69" s="731">
        <f t="shared" si="0"/>
        <v>623.04999999999995</v>
      </c>
      <c r="H69" s="734"/>
      <c r="I69" s="733"/>
      <c r="J69" s="733"/>
      <c r="N69" s="816">
        <f>Q69*M2</f>
        <v>623.04000000000008</v>
      </c>
      <c r="Q69" s="733">
        <v>566.4</v>
      </c>
    </row>
    <row r="70" spans="1:17" ht="21">
      <c r="A70" s="385">
        <v>1750</v>
      </c>
      <c r="B70" s="386" t="s">
        <v>2754</v>
      </c>
      <c r="C70" s="387" t="s">
        <v>2856</v>
      </c>
      <c r="D70" s="388" t="s">
        <v>58</v>
      </c>
      <c r="E70" s="389" t="s">
        <v>2898</v>
      </c>
      <c r="F70" s="373" t="s">
        <v>2898</v>
      </c>
      <c r="G70" s="731">
        <f t="shared" si="0"/>
        <v>706.2</v>
      </c>
      <c r="H70" s="734"/>
      <c r="I70" s="733"/>
      <c r="J70" s="733"/>
      <c r="N70" s="816">
        <f>Q70*M2</f>
        <v>706.2</v>
      </c>
      <c r="Q70" s="733">
        <v>642</v>
      </c>
    </row>
    <row r="71" spans="1:17" ht="21">
      <c r="A71" s="385">
        <v>2150</v>
      </c>
      <c r="B71" s="386" t="s">
        <v>2754</v>
      </c>
      <c r="C71" s="387" t="s">
        <v>2856</v>
      </c>
      <c r="D71" s="388" t="s">
        <v>58</v>
      </c>
      <c r="E71" s="389" t="s">
        <v>2899</v>
      </c>
      <c r="F71" s="373" t="s">
        <v>2899</v>
      </c>
      <c r="G71" s="731">
        <f t="shared" si="0"/>
        <v>789.15</v>
      </c>
      <c r="H71" s="734"/>
      <c r="I71" s="733"/>
      <c r="J71" s="733"/>
      <c r="N71" s="816">
        <f>Q71*M2</f>
        <v>789.14</v>
      </c>
      <c r="Q71" s="733">
        <v>717.4</v>
      </c>
    </row>
    <row r="72" spans="1:17" ht="21">
      <c r="A72" s="379"/>
      <c r="B72" s="380" t="s">
        <v>2754</v>
      </c>
      <c r="C72" s="381" t="s">
        <v>2859</v>
      </c>
      <c r="D72" s="377" t="s">
        <v>58</v>
      </c>
      <c r="E72" s="378"/>
      <c r="F72" s="373"/>
      <c r="G72" s="731"/>
      <c r="H72" s="734"/>
      <c r="I72" s="733"/>
      <c r="J72" s="733"/>
      <c r="N72" s="816"/>
      <c r="Q72" s="733"/>
    </row>
    <row r="73" spans="1:17" ht="24.6">
      <c r="A73" s="403" t="s">
        <v>2900</v>
      </c>
      <c r="B73" s="403"/>
      <c r="C73" s="403"/>
      <c r="D73" s="403"/>
      <c r="E73" s="384"/>
      <c r="F73" s="373"/>
      <c r="G73" s="731"/>
      <c r="H73" s="734"/>
      <c r="I73" s="733"/>
      <c r="J73" s="733"/>
      <c r="N73" s="816"/>
      <c r="Q73" s="733"/>
    </row>
    <row r="74" spans="1:17" ht="21">
      <c r="A74" s="385">
        <v>750</v>
      </c>
      <c r="B74" s="386" t="s">
        <v>2754</v>
      </c>
      <c r="C74" s="387" t="s">
        <v>2856</v>
      </c>
      <c r="D74" s="388" t="s">
        <v>58</v>
      </c>
      <c r="E74" s="389" t="s">
        <v>2901</v>
      </c>
      <c r="F74" s="373" t="s">
        <v>2901</v>
      </c>
      <c r="G74" s="731">
        <f t="shared" ref="G74:G137" si="3">ROUND(N74*2,1)/2</f>
        <v>442.65</v>
      </c>
      <c r="H74" s="734"/>
      <c r="I74" s="733"/>
      <c r="J74" s="733"/>
      <c r="N74" s="816">
        <f>Q74*M2</f>
        <v>442.64</v>
      </c>
      <c r="Q74" s="733">
        <v>402.4</v>
      </c>
    </row>
    <row r="75" spans="1:17" ht="21">
      <c r="A75" s="385">
        <v>1350</v>
      </c>
      <c r="B75" s="386" t="s">
        <v>2754</v>
      </c>
      <c r="C75" s="387" t="s">
        <v>2856</v>
      </c>
      <c r="D75" s="388" t="s">
        <v>58</v>
      </c>
      <c r="E75" s="389" t="s">
        <v>2902</v>
      </c>
      <c r="F75" s="373" t="s">
        <v>2902</v>
      </c>
      <c r="G75" s="731">
        <f t="shared" si="3"/>
        <v>516.1</v>
      </c>
      <c r="H75" s="734"/>
      <c r="I75" s="733"/>
      <c r="J75" s="733"/>
      <c r="N75" s="816">
        <f>Q75*M2</f>
        <v>516.12</v>
      </c>
      <c r="Q75" s="733">
        <v>469.2</v>
      </c>
    </row>
    <row r="76" spans="1:17" ht="21">
      <c r="A76" s="385">
        <v>1750</v>
      </c>
      <c r="B76" s="386" t="s">
        <v>2754</v>
      </c>
      <c r="C76" s="387" t="s">
        <v>2856</v>
      </c>
      <c r="D76" s="388" t="s">
        <v>58</v>
      </c>
      <c r="E76" s="389" t="s">
        <v>2903</v>
      </c>
      <c r="F76" s="373" t="s">
        <v>2903</v>
      </c>
      <c r="G76" s="731">
        <f t="shared" si="3"/>
        <v>565.04999999999995</v>
      </c>
      <c r="H76" s="734"/>
      <c r="I76" s="733"/>
      <c r="J76" s="733"/>
      <c r="N76" s="816">
        <f>Q76*M2</f>
        <v>565.07000000000005</v>
      </c>
      <c r="Q76" s="733">
        <v>513.70000000000005</v>
      </c>
    </row>
    <row r="77" spans="1:17" ht="21">
      <c r="A77" s="385">
        <v>2150</v>
      </c>
      <c r="B77" s="386" t="s">
        <v>2754</v>
      </c>
      <c r="C77" s="387" t="s">
        <v>2856</v>
      </c>
      <c r="D77" s="388" t="s">
        <v>58</v>
      </c>
      <c r="E77" s="389" t="s">
        <v>2904</v>
      </c>
      <c r="F77" s="373" t="s">
        <v>2904</v>
      </c>
      <c r="G77" s="731">
        <f t="shared" si="3"/>
        <v>614.15</v>
      </c>
      <c r="H77" s="734"/>
      <c r="I77" s="733"/>
      <c r="J77" s="733"/>
      <c r="N77" s="816">
        <f>Q77*M2</f>
        <v>614.13</v>
      </c>
      <c r="Q77" s="733">
        <v>558.29999999999995</v>
      </c>
    </row>
    <row r="78" spans="1:17" ht="21">
      <c r="A78" s="379"/>
      <c r="B78" s="380" t="s">
        <v>2754</v>
      </c>
      <c r="C78" s="381" t="s">
        <v>2859</v>
      </c>
      <c r="D78" s="377" t="s">
        <v>58</v>
      </c>
      <c r="E78" s="378"/>
      <c r="F78" s="373"/>
      <c r="G78" s="731"/>
      <c r="H78" s="734"/>
      <c r="I78" s="733"/>
      <c r="J78" s="733"/>
      <c r="N78" s="816"/>
      <c r="Q78" s="733"/>
    </row>
    <row r="79" spans="1:17" ht="24.6">
      <c r="A79" s="403" t="s">
        <v>2905</v>
      </c>
      <c r="B79" s="403"/>
      <c r="C79" s="403"/>
      <c r="D79" s="403"/>
      <c r="E79" s="384"/>
      <c r="F79" s="373"/>
      <c r="G79" s="731"/>
      <c r="H79" s="734"/>
      <c r="I79" s="733"/>
      <c r="J79" s="733"/>
      <c r="N79" s="816"/>
      <c r="Q79" s="733"/>
    </row>
    <row r="80" spans="1:17" ht="21">
      <c r="A80" s="385">
        <v>750</v>
      </c>
      <c r="B80" s="386" t="s">
        <v>2754</v>
      </c>
      <c r="C80" s="387" t="s">
        <v>2856</v>
      </c>
      <c r="D80" s="388" t="s">
        <v>58</v>
      </c>
      <c r="E80" s="389" t="s">
        <v>2906</v>
      </c>
      <c r="F80" s="373" t="s">
        <v>2906</v>
      </c>
      <c r="G80" s="731">
        <f t="shared" si="3"/>
        <v>504.25</v>
      </c>
      <c r="H80" s="734"/>
      <c r="I80" s="733"/>
      <c r="J80" s="733"/>
      <c r="N80" s="816">
        <f>Q80*M2</f>
        <v>504.24</v>
      </c>
      <c r="Q80" s="733">
        <v>458.4</v>
      </c>
    </row>
    <row r="81" spans="1:17" ht="21">
      <c r="A81" s="385">
        <v>1350</v>
      </c>
      <c r="B81" s="386" t="s">
        <v>2754</v>
      </c>
      <c r="C81" s="387" t="s">
        <v>2856</v>
      </c>
      <c r="D81" s="388" t="s">
        <v>58</v>
      </c>
      <c r="E81" s="389" t="s">
        <v>2907</v>
      </c>
      <c r="F81" s="373" t="s">
        <v>2907</v>
      </c>
      <c r="G81" s="731">
        <f t="shared" si="3"/>
        <v>632.04999999999995</v>
      </c>
      <c r="H81" s="734"/>
      <c r="I81" s="733"/>
      <c r="J81" s="733"/>
      <c r="N81" s="816">
        <f>Q81*M2</f>
        <v>632.06000000000006</v>
      </c>
      <c r="Q81" s="733">
        <v>574.6</v>
      </c>
    </row>
    <row r="82" spans="1:17" ht="21">
      <c r="A82" s="385">
        <v>1750</v>
      </c>
      <c r="B82" s="386" t="s">
        <v>2754</v>
      </c>
      <c r="C82" s="387" t="s">
        <v>2856</v>
      </c>
      <c r="D82" s="388" t="s">
        <v>58</v>
      </c>
      <c r="E82" s="389" t="s">
        <v>2908</v>
      </c>
      <c r="F82" s="373" t="s">
        <v>2908</v>
      </c>
      <c r="G82" s="731">
        <f t="shared" si="3"/>
        <v>717.4</v>
      </c>
      <c r="H82" s="734"/>
      <c r="I82" s="733"/>
      <c r="J82" s="733"/>
      <c r="N82" s="816">
        <f>Q82*M2</f>
        <v>717.42000000000007</v>
      </c>
      <c r="Q82" s="733">
        <v>652.20000000000005</v>
      </c>
    </row>
    <row r="83" spans="1:17" ht="21">
      <c r="A83" s="385">
        <v>2150</v>
      </c>
      <c r="B83" s="386" t="s">
        <v>2754</v>
      </c>
      <c r="C83" s="387" t="s">
        <v>2856</v>
      </c>
      <c r="D83" s="388" t="s">
        <v>58</v>
      </c>
      <c r="E83" s="389" t="s">
        <v>2909</v>
      </c>
      <c r="F83" s="373" t="s">
        <v>2909</v>
      </c>
      <c r="G83" s="731">
        <f t="shared" si="3"/>
        <v>802.55</v>
      </c>
      <c r="H83" s="734"/>
      <c r="I83" s="733"/>
      <c r="J83" s="733"/>
      <c r="N83" s="816">
        <f>Q83*M2</f>
        <v>802.56000000000006</v>
      </c>
      <c r="Q83" s="733">
        <v>729.6</v>
      </c>
    </row>
    <row r="84" spans="1:17" ht="21">
      <c r="A84" s="379"/>
      <c r="B84" s="380" t="s">
        <v>2754</v>
      </c>
      <c r="C84" s="381" t="s">
        <v>2859</v>
      </c>
      <c r="D84" s="377" t="s">
        <v>58</v>
      </c>
      <c r="E84" s="378"/>
      <c r="F84" s="373"/>
      <c r="G84" s="731"/>
      <c r="H84" s="734"/>
      <c r="I84" s="733"/>
      <c r="J84" s="733"/>
      <c r="N84" s="816"/>
      <c r="Q84" s="733"/>
    </row>
    <row r="85" spans="1:17" ht="24.6">
      <c r="A85" s="403" t="s">
        <v>2910</v>
      </c>
      <c r="B85" s="403"/>
      <c r="C85" s="403"/>
      <c r="D85" s="403"/>
      <c r="E85" s="403"/>
      <c r="F85" s="373"/>
      <c r="G85" s="731"/>
      <c r="H85" s="734"/>
      <c r="I85" s="733"/>
      <c r="J85" s="733"/>
      <c r="N85" s="816"/>
      <c r="Q85" s="733"/>
    </row>
    <row r="86" spans="1:17" ht="21">
      <c r="A86" s="385">
        <v>750</v>
      </c>
      <c r="B86" s="386" t="s">
        <v>2754</v>
      </c>
      <c r="C86" s="387" t="s">
        <v>2856</v>
      </c>
      <c r="D86" s="388" t="s">
        <v>58</v>
      </c>
      <c r="E86" s="389" t="s">
        <v>2911</v>
      </c>
      <c r="F86" s="373" t="s">
        <v>2911</v>
      </c>
      <c r="G86" s="731">
        <f t="shared" si="3"/>
        <v>745.45</v>
      </c>
      <c r="H86" s="734"/>
      <c r="I86" s="733"/>
      <c r="J86" s="733"/>
      <c r="N86" s="816">
        <f>Q86*M2</f>
        <v>745.47000000000014</v>
      </c>
      <c r="Q86" s="733">
        <v>677.7</v>
      </c>
    </row>
    <row r="87" spans="1:17" ht="21">
      <c r="A87" s="385">
        <v>1350</v>
      </c>
      <c r="B87" s="386" t="s">
        <v>2754</v>
      </c>
      <c r="C87" s="387" t="s">
        <v>2856</v>
      </c>
      <c r="D87" s="388" t="s">
        <v>58</v>
      </c>
      <c r="E87" s="389" t="s">
        <v>2912</v>
      </c>
      <c r="F87" s="373" t="s">
        <v>2912</v>
      </c>
      <c r="G87" s="731">
        <f t="shared" si="3"/>
        <v>914.85</v>
      </c>
      <c r="H87" s="734"/>
      <c r="I87" s="733"/>
      <c r="J87" s="733"/>
      <c r="N87" s="816">
        <f>Q87*M2</f>
        <v>914.87000000000012</v>
      </c>
      <c r="Q87" s="733">
        <v>831.7</v>
      </c>
    </row>
    <row r="88" spans="1:17" ht="21">
      <c r="A88" s="385">
        <v>1750</v>
      </c>
      <c r="B88" s="386" t="s">
        <v>2754</v>
      </c>
      <c r="C88" s="387" t="s">
        <v>2856</v>
      </c>
      <c r="D88" s="388" t="s">
        <v>58</v>
      </c>
      <c r="E88" s="389" t="s">
        <v>2913</v>
      </c>
      <c r="F88" s="373" t="s">
        <v>2913</v>
      </c>
      <c r="G88" s="731">
        <f t="shared" si="3"/>
        <v>1027.8499999999999</v>
      </c>
      <c r="H88" s="734"/>
      <c r="I88" s="733"/>
      <c r="J88" s="733"/>
      <c r="N88" s="816">
        <f>Q88*M2</f>
        <v>1027.8400000000001</v>
      </c>
      <c r="Q88" s="733">
        <v>934.4</v>
      </c>
    </row>
    <row r="89" spans="1:17" ht="21">
      <c r="A89" s="385">
        <v>2150</v>
      </c>
      <c r="B89" s="386" t="s">
        <v>2754</v>
      </c>
      <c r="C89" s="387" t="s">
        <v>2856</v>
      </c>
      <c r="D89" s="388" t="s">
        <v>58</v>
      </c>
      <c r="E89" s="389" t="s">
        <v>2914</v>
      </c>
      <c r="F89" s="373" t="s">
        <v>2914</v>
      </c>
      <c r="G89" s="731">
        <f t="shared" si="3"/>
        <v>1140.7</v>
      </c>
      <c r="H89" s="734"/>
      <c r="I89" s="733"/>
      <c r="J89" s="733"/>
      <c r="N89" s="816">
        <f>Q89*M2</f>
        <v>1140.7</v>
      </c>
      <c r="Q89" s="733">
        <v>1037</v>
      </c>
    </row>
    <row r="90" spans="1:17" ht="21">
      <c r="A90" s="379"/>
      <c r="B90" s="380" t="s">
        <v>2754</v>
      </c>
      <c r="C90" s="381" t="s">
        <v>2859</v>
      </c>
      <c r="D90" s="377" t="s">
        <v>58</v>
      </c>
      <c r="E90" s="378"/>
      <c r="F90" s="373"/>
      <c r="G90" s="731"/>
      <c r="H90" s="734"/>
      <c r="I90" s="733"/>
      <c r="J90" s="733"/>
      <c r="N90" s="816"/>
      <c r="Q90" s="733"/>
    </row>
    <row r="91" spans="1:17" ht="24.6">
      <c r="A91" s="403" t="s">
        <v>2915</v>
      </c>
      <c r="B91" s="403"/>
      <c r="C91" s="403"/>
      <c r="D91" s="403"/>
      <c r="E91" s="403"/>
      <c r="F91" s="373"/>
      <c r="G91" s="731"/>
      <c r="H91" s="734"/>
      <c r="I91" s="733"/>
      <c r="J91" s="733"/>
      <c r="N91" s="816"/>
      <c r="Q91" s="733"/>
    </row>
    <row r="92" spans="1:17" ht="21">
      <c r="A92" s="385">
        <v>750</v>
      </c>
      <c r="B92" s="386" t="s">
        <v>2754</v>
      </c>
      <c r="C92" s="387" t="s">
        <v>2856</v>
      </c>
      <c r="D92" s="388" t="s">
        <v>58</v>
      </c>
      <c r="E92" s="389" t="s">
        <v>2916</v>
      </c>
      <c r="F92" s="373" t="s">
        <v>2916</v>
      </c>
      <c r="G92" s="731">
        <f t="shared" si="3"/>
        <v>582</v>
      </c>
      <c r="H92" s="734"/>
      <c r="I92" s="733"/>
      <c r="J92" s="733"/>
      <c r="N92" s="816">
        <f>Q92*M2</f>
        <v>582.0100000000001</v>
      </c>
      <c r="Q92" s="733">
        <v>529.1</v>
      </c>
    </row>
    <row r="93" spans="1:17" ht="21">
      <c r="A93" s="385">
        <v>1350</v>
      </c>
      <c r="B93" s="386" t="s">
        <v>2754</v>
      </c>
      <c r="C93" s="387" t="s">
        <v>2856</v>
      </c>
      <c r="D93" s="388" t="s">
        <v>58</v>
      </c>
      <c r="E93" s="389" t="s">
        <v>2917</v>
      </c>
      <c r="F93" s="373" t="s">
        <v>2917</v>
      </c>
      <c r="G93" s="731">
        <f t="shared" si="3"/>
        <v>753.85</v>
      </c>
      <c r="H93" s="734"/>
      <c r="I93" s="733"/>
      <c r="J93" s="733"/>
      <c r="N93" s="816">
        <f>Q93*M2</f>
        <v>753.83</v>
      </c>
      <c r="Q93" s="733">
        <v>685.3</v>
      </c>
    </row>
    <row r="94" spans="1:17" ht="21">
      <c r="A94" s="385">
        <v>1750</v>
      </c>
      <c r="B94" s="386" t="s">
        <v>2754</v>
      </c>
      <c r="C94" s="387" t="s">
        <v>2856</v>
      </c>
      <c r="D94" s="388" t="s">
        <v>58</v>
      </c>
      <c r="E94" s="389" t="s">
        <v>2918</v>
      </c>
      <c r="F94" s="373" t="s">
        <v>2918</v>
      </c>
      <c r="G94" s="731">
        <f t="shared" si="3"/>
        <v>868.35</v>
      </c>
      <c r="H94" s="734"/>
      <c r="I94" s="733"/>
      <c r="J94" s="733"/>
      <c r="N94" s="816">
        <f>Q94*M2</f>
        <v>868.34</v>
      </c>
      <c r="Q94" s="733">
        <v>789.4</v>
      </c>
    </row>
    <row r="95" spans="1:17" ht="21">
      <c r="A95" s="385">
        <v>2150</v>
      </c>
      <c r="B95" s="386" t="s">
        <v>2754</v>
      </c>
      <c r="C95" s="387" t="s">
        <v>2856</v>
      </c>
      <c r="D95" s="388" t="s">
        <v>58</v>
      </c>
      <c r="E95" s="389" t="s">
        <v>2919</v>
      </c>
      <c r="F95" s="373" t="s">
        <v>2919</v>
      </c>
      <c r="G95" s="731">
        <f t="shared" si="3"/>
        <v>982.85</v>
      </c>
      <c r="H95" s="734"/>
      <c r="I95" s="733"/>
      <c r="J95" s="733"/>
      <c r="N95" s="816">
        <f>Q95*M2</f>
        <v>982.85</v>
      </c>
      <c r="Q95" s="733">
        <v>893.5</v>
      </c>
    </row>
    <row r="96" spans="1:17" ht="21">
      <c r="A96" s="379"/>
      <c r="B96" s="380" t="s">
        <v>2754</v>
      </c>
      <c r="C96" s="381" t="s">
        <v>2859</v>
      </c>
      <c r="D96" s="377" t="s">
        <v>58</v>
      </c>
      <c r="E96" s="378"/>
      <c r="F96" s="373"/>
      <c r="G96" s="731"/>
      <c r="H96" s="734"/>
      <c r="I96" s="733"/>
      <c r="J96" s="733"/>
      <c r="N96" s="816"/>
      <c r="Q96" s="733"/>
    </row>
    <row r="97" spans="1:17" ht="24.6">
      <c r="A97" s="403" t="s">
        <v>2920</v>
      </c>
      <c r="B97" s="403"/>
      <c r="C97" s="403"/>
      <c r="D97" s="403"/>
      <c r="E97" s="403"/>
      <c r="F97" s="373"/>
      <c r="G97" s="731"/>
      <c r="H97" s="734"/>
      <c r="I97" s="733"/>
      <c r="J97" s="736"/>
      <c r="N97" s="816"/>
      <c r="Q97" s="733"/>
    </row>
    <row r="98" spans="1:17" ht="21">
      <c r="A98" s="390" t="s">
        <v>2921</v>
      </c>
      <c r="B98" s="391"/>
      <c r="C98" s="391"/>
      <c r="D98" s="388" t="s">
        <v>66</v>
      </c>
      <c r="E98" s="389" t="s">
        <v>2922</v>
      </c>
      <c r="F98" s="373" t="s">
        <v>2922</v>
      </c>
      <c r="G98" s="731">
        <f t="shared" si="3"/>
        <v>407.35</v>
      </c>
      <c r="H98" s="734"/>
      <c r="I98" s="733"/>
      <c r="J98" s="737"/>
      <c r="N98" s="816">
        <f>Q98*M2</f>
        <v>407.33000000000004</v>
      </c>
      <c r="Q98" s="733">
        <v>370.3</v>
      </c>
    </row>
    <row r="99" spans="1:17" ht="21">
      <c r="A99" s="390" t="s">
        <v>2923</v>
      </c>
      <c r="B99" s="391"/>
      <c r="C99" s="391"/>
      <c r="D99" s="388" t="s">
        <v>66</v>
      </c>
      <c r="E99" s="389" t="s">
        <v>2924</v>
      </c>
      <c r="F99" s="373" t="s">
        <v>2924</v>
      </c>
      <c r="G99" s="731">
        <f t="shared" si="3"/>
        <v>680.9</v>
      </c>
      <c r="H99" s="734"/>
      <c r="I99" s="733"/>
      <c r="J99" s="737"/>
      <c r="N99" s="816">
        <f>Q99*M2</f>
        <v>680.90000000000009</v>
      </c>
      <c r="Q99" s="733">
        <v>619</v>
      </c>
    </row>
    <row r="100" spans="1:17" ht="24.6">
      <c r="A100" s="403" t="s">
        <v>2925</v>
      </c>
      <c r="B100" s="403"/>
      <c r="C100" s="403"/>
      <c r="D100" s="403"/>
      <c r="E100" s="403"/>
      <c r="F100" s="373"/>
      <c r="G100" s="731"/>
      <c r="H100" s="734"/>
      <c r="I100" s="733"/>
      <c r="J100" s="738"/>
      <c r="N100" s="816"/>
      <c r="Q100" s="733"/>
    </row>
    <row r="101" spans="1:17" ht="21">
      <c r="A101" s="390" t="s">
        <v>2926</v>
      </c>
      <c r="B101" s="392"/>
      <c r="C101" s="392"/>
      <c r="D101" s="393" t="s">
        <v>66</v>
      </c>
      <c r="E101" s="394" t="s">
        <v>2927</v>
      </c>
      <c r="F101" s="373" t="s">
        <v>2927</v>
      </c>
      <c r="G101" s="731">
        <f t="shared" si="3"/>
        <v>787.8</v>
      </c>
      <c r="H101" s="734"/>
      <c r="I101" s="733"/>
      <c r="J101" s="737"/>
      <c r="N101" s="816">
        <f>Q101*M2</f>
        <v>787.82000000000016</v>
      </c>
      <c r="Q101" s="733">
        <v>716.2</v>
      </c>
    </row>
    <row r="102" spans="1:17" ht="21">
      <c r="A102" s="390" t="s">
        <v>2923</v>
      </c>
      <c r="B102" s="392"/>
      <c r="C102" s="392"/>
      <c r="D102" s="393" t="s">
        <v>66</v>
      </c>
      <c r="E102" s="394" t="s">
        <v>2928</v>
      </c>
      <c r="F102" s="373" t="s">
        <v>2928</v>
      </c>
      <c r="G102" s="731">
        <f t="shared" si="3"/>
        <v>1169.5999999999999</v>
      </c>
      <c r="H102" s="734"/>
      <c r="I102" s="733"/>
      <c r="J102" s="737"/>
      <c r="N102" s="816">
        <f>Q102*M2</f>
        <v>1169.575</v>
      </c>
      <c r="Q102" s="733">
        <v>1063.25</v>
      </c>
    </row>
    <row r="103" spans="1:17" ht="24.6">
      <c r="A103" s="403" t="s">
        <v>2929</v>
      </c>
      <c r="B103" s="403"/>
      <c r="C103" s="403"/>
      <c r="D103" s="403"/>
      <c r="E103" s="403"/>
      <c r="F103" s="373"/>
      <c r="G103" s="731"/>
      <c r="H103" s="734"/>
      <c r="I103" s="733"/>
      <c r="J103" s="733"/>
      <c r="N103" s="816"/>
      <c r="Q103" s="733"/>
    </row>
    <row r="104" spans="1:17" ht="21">
      <c r="A104" s="385">
        <v>750</v>
      </c>
      <c r="B104" s="386" t="s">
        <v>2754</v>
      </c>
      <c r="C104" s="387" t="s">
        <v>2930</v>
      </c>
      <c r="D104" s="388" t="s">
        <v>58</v>
      </c>
      <c r="E104" s="389" t="s">
        <v>2931</v>
      </c>
      <c r="F104" s="373" t="s">
        <v>2931</v>
      </c>
      <c r="G104" s="731">
        <f t="shared" si="3"/>
        <v>424.8</v>
      </c>
      <c r="H104" s="734"/>
      <c r="I104" s="733"/>
      <c r="J104" s="737"/>
      <c r="N104" s="816">
        <f>Q104*M2</f>
        <v>424.81824000000012</v>
      </c>
      <c r="Q104" s="733">
        <v>386.19840000000005</v>
      </c>
    </row>
    <row r="105" spans="1:17" ht="21">
      <c r="A105" s="385">
        <v>1350</v>
      </c>
      <c r="B105" s="386" t="s">
        <v>2754</v>
      </c>
      <c r="C105" s="387" t="s">
        <v>2930</v>
      </c>
      <c r="D105" s="388" t="s">
        <v>58</v>
      </c>
      <c r="E105" s="389" t="s">
        <v>2932</v>
      </c>
      <c r="F105" s="373" t="s">
        <v>2932</v>
      </c>
      <c r="G105" s="731">
        <f t="shared" si="3"/>
        <v>461.45</v>
      </c>
      <c r="H105" s="734"/>
      <c r="I105" s="733"/>
      <c r="J105" s="737"/>
      <c r="N105" s="816">
        <f>Q105*M2</f>
        <v>461.45000000000005</v>
      </c>
      <c r="Q105" s="733">
        <v>419.5</v>
      </c>
    </row>
    <row r="106" spans="1:17" ht="21">
      <c r="A106" s="385">
        <v>1750</v>
      </c>
      <c r="B106" s="386" t="s">
        <v>2754</v>
      </c>
      <c r="C106" s="387" t="s">
        <v>2930</v>
      </c>
      <c r="D106" s="388" t="s">
        <v>58</v>
      </c>
      <c r="E106" s="389" t="s">
        <v>2933</v>
      </c>
      <c r="F106" s="373" t="s">
        <v>2933</v>
      </c>
      <c r="G106" s="731">
        <f t="shared" si="3"/>
        <v>514.45000000000005</v>
      </c>
      <c r="H106" s="734"/>
      <c r="I106" s="733"/>
      <c r="J106" s="737"/>
      <c r="N106" s="816">
        <f>Q106*M2</f>
        <v>514.47</v>
      </c>
      <c r="Q106" s="733">
        <v>467.7</v>
      </c>
    </row>
    <row r="107" spans="1:17" ht="21">
      <c r="A107" s="811" t="s">
        <v>2934</v>
      </c>
      <c r="B107" s="811"/>
      <c r="C107" s="811"/>
      <c r="D107" s="388" t="s">
        <v>58</v>
      </c>
      <c r="F107" s="373"/>
      <c r="G107" s="731"/>
      <c r="H107" s="734"/>
      <c r="I107" s="733"/>
      <c r="J107" s="733"/>
      <c r="N107" s="816"/>
      <c r="Q107" s="733"/>
    </row>
    <row r="108" spans="1:17" ht="24.6">
      <c r="A108" s="403" t="s">
        <v>2935</v>
      </c>
      <c r="B108" s="403"/>
      <c r="C108" s="403"/>
      <c r="D108" s="403"/>
      <c r="E108" s="403"/>
      <c r="F108" s="373"/>
      <c r="G108" s="731"/>
      <c r="H108" s="734"/>
      <c r="I108" s="733"/>
      <c r="J108" s="733"/>
      <c r="N108" s="816"/>
      <c r="Q108" s="733"/>
    </row>
    <row r="109" spans="1:17" ht="24.6">
      <c r="A109" s="390" t="s">
        <v>3010</v>
      </c>
      <c r="B109" s="395"/>
      <c r="C109" s="364"/>
      <c r="D109" s="388" t="s">
        <v>58</v>
      </c>
      <c r="E109" s="396" t="s">
        <v>2937</v>
      </c>
      <c r="F109" s="396" t="s">
        <v>2937</v>
      </c>
      <c r="G109" s="731">
        <f t="shared" si="3"/>
        <v>97.15</v>
      </c>
      <c r="H109" s="734"/>
      <c r="I109" s="733"/>
      <c r="J109" s="733"/>
      <c r="N109" s="816">
        <f>Q109*M2</f>
        <v>97.13000000000001</v>
      </c>
      <c r="Q109" s="733">
        <v>88.3</v>
      </c>
    </row>
    <row r="110" spans="1:17" ht="24.6">
      <c r="A110" s="390" t="s">
        <v>3011</v>
      </c>
      <c r="B110" s="395"/>
      <c r="C110" s="364"/>
      <c r="D110" s="388" t="s">
        <v>58</v>
      </c>
      <c r="E110" s="396" t="s">
        <v>2936</v>
      </c>
      <c r="F110" s="396" t="s">
        <v>2936</v>
      </c>
      <c r="G110" s="731">
        <f t="shared" si="3"/>
        <v>100.85</v>
      </c>
      <c r="H110" s="734"/>
      <c r="I110" s="733"/>
      <c r="J110" s="733"/>
      <c r="N110" s="816">
        <f>Q110*M2</f>
        <v>100.87</v>
      </c>
      <c r="Q110" s="733">
        <v>91.7</v>
      </c>
    </row>
    <row r="111" spans="1:17" ht="24.6">
      <c r="A111" s="390"/>
      <c r="B111" s="395"/>
      <c r="C111" s="364"/>
      <c r="D111" s="388"/>
      <c r="E111" s="396"/>
      <c r="F111" s="373"/>
      <c r="G111" s="731"/>
      <c r="H111" s="734"/>
      <c r="I111" s="733"/>
      <c r="J111" s="733"/>
      <c r="N111" s="816"/>
      <c r="Q111" s="733">
        <v>62.95</v>
      </c>
    </row>
    <row r="112" spans="1:17" ht="24.6">
      <c r="A112" s="403" t="s">
        <v>2938</v>
      </c>
      <c r="B112" s="403"/>
      <c r="C112" s="403"/>
      <c r="D112" s="403"/>
      <c r="E112" s="403"/>
      <c r="F112" s="373"/>
      <c r="G112" s="731"/>
      <c r="H112" s="734"/>
      <c r="I112" s="733"/>
      <c r="J112" s="733"/>
      <c r="N112" s="816"/>
      <c r="Q112" s="733"/>
    </row>
    <row r="113" spans="1:17" ht="24.6">
      <c r="A113" s="370" t="s">
        <v>3348</v>
      </c>
      <c r="B113" s="398"/>
      <c r="C113" s="398"/>
      <c r="D113" s="388" t="s">
        <v>45</v>
      </c>
      <c r="E113" s="396" t="s">
        <v>3347</v>
      </c>
      <c r="F113" s="373" t="s">
        <v>3347</v>
      </c>
      <c r="G113" s="731">
        <f t="shared" si="3"/>
        <v>35.299999999999997</v>
      </c>
      <c r="H113" s="734"/>
      <c r="I113" s="733"/>
      <c r="J113" s="733"/>
      <c r="N113" s="817">
        <f>Q113*M2</f>
        <v>35.315280000000008</v>
      </c>
      <c r="Q113" s="733">
        <v>32.104800000000004</v>
      </c>
    </row>
    <row r="114" spans="1:17" ht="24.6">
      <c r="A114" s="390" t="s">
        <v>2939</v>
      </c>
      <c r="B114" s="395"/>
      <c r="C114" s="395"/>
      <c r="D114" s="388" t="s">
        <v>45</v>
      </c>
      <c r="E114" s="396" t="s">
        <v>2940</v>
      </c>
      <c r="F114" s="373" t="s">
        <v>2940</v>
      </c>
      <c r="G114" s="731">
        <f t="shared" si="3"/>
        <v>27.5</v>
      </c>
      <c r="H114" s="734"/>
      <c r="I114" s="733"/>
      <c r="J114" s="733"/>
      <c r="N114" s="816">
        <f>Q114*M2</f>
        <v>27.500000000000004</v>
      </c>
      <c r="Q114" s="733">
        <v>25</v>
      </c>
    </row>
    <row r="115" spans="1:17" ht="24.6">
      <c r="A115" s="390" t="s">
        <v>2941</v>
      </c>
      <c r="B115" s="395"/>
      <c r="C115" s="395"/>
      <c r="D115" s="388" t="s">
        <v>45</v>
      </c>
      <c r="E115" s="396" t="s">
        <v>2942</v>
      </c>
      <c r="F115" s="373" t="s">
        <v>2942</v>
      </c>
      <c r="G115" s="731">
        <f t="shared" si="3"/>
        <v>27.5</v>
      </c>
      <c r="H115" s="734"/>
      <c r="I115" s="733"/>
      <c r="J115" s="733"/>
      <c r="N115" s="816">
        <f>Q115*M2</f>
        <v>27.500000000000004</v>
      </c>
      <c r="Q115" s="733">
        <v>25</v>
      </c>
    </row>
    <row r="116" spans="1:17" ht="24.6">
      <c r="A116" s="390" t="s">
        <v>2943</v>
      </c>
      <c r="B116" s="395"/>
      <c r="C116" s="395"/>
      <c r="D116" s="388" t="s">
        <v>45</v>
      </c>
      <c r="E116" s="396" t="s">
        <v>2944</v>
      </c>
      <c r="F116" s="373" t="s">
        <v>2944</v>
      </c>
      <c r="G116" s="731">
        <f t="shared" si="3"/>
        <v>44.35</v>
      </c>
      <c r="H116" s="734"/>
      <c r="I116" s="733"/>
      <c r="J116" s="733"/>
      <c r="N116" s="816">
        <f>Q116*M2</f>
        <v>44.352000000000004</v>
      </c>
      <c r="Q116" s="733">
        <v>40.32</v>
      </c>
    </row>
    <row r="117" spans="1:17" ht="24.6">
      <c r="A117" s="390" t="s">
        <v>2945</v>
      </c>
      <c r="B117" s="395"/>
      <c r="C117" s="395"/>
      <c r="D117" s="388" t="s">
        <v>2946</v>
      </c>
      <c r="E117" s="396" t="s">
        <v>2947</v>
      </c>
      <c r="F117" s="373" t="s">
        <v>2947</v>
      </c>
      <c r="G117" s="731">
        <f t="shared" si="3"/>
        <v>68</v>
      </c>
      <c r="H117" s="734"/>
      <c r="I117" s="733"/>
      <c r="J117" s="733"/>
      <c r="N117" s="816">
        <f>Q117*M2</f>
        <v>67.978680000000011</v>
      </c>
      <c r="Q117" s="733">
        <v>61.798800000000007</v>
      </c>
    </row>
    <row r="118" spans="1:17" ht="24.6">
      <c r="A118" s="390" t="s">
        <v>2948</v>
      </c>
      <c r="B118" s="395"/>
      <c r="C118" s="395"/>
      <c r="D118" s="388" t="s">
        <v>2946</v>
      </c>
      <c r="E118" s="397" t="s">
        <v>2949</v>
      </c>
      <c r="F118" s="373" t="s">
        <v>2949</v>
      </c>
      <c r="G118" s="731">
        <f t="shared" si="3"/>
        <v>67.2</v>
      </c>
      <c r="H118" s="734"/>
      <c r="I118" s="733"/>
      <c r="J118" s="733"/>
      <c r="N118" s="816">
        <f>Q118*M2</f>
        <v>67.210000000000008</v>
      </c>
      <c r="Q118" s="733">
        <v>61.1</v>
      </c>
    </row>
    <row r="119" spans="1:17" ht="24.6">
      <c r="A119" s="390" t="s">
        <v>2950</v>
      </c>
      <c r="B119" s="395"/>
      <c r="C119" s="395"/>
      <c r="D119" s="388" t="s">
        <v>2951</v>
      </c>
      <c r="E119" s="397" t="s">
        <v>2952</v>
      </c>
      <c r="F119" s="373" t="s">
        <v>2952</v>
      </c>
      <c r="G119" s="731">
        <f t="shared" si="3"/>
        <v>62.1</v>
      </c>
      <c r="H119" s="734"/>
      <c r="I119" s="733"/>
      <c r="J119" s="733"/>
      <c r="N119" s="816">
        <f>Q119*M2</f>
        <v>62.095000000000006</v>
      </c>
      <c r="Q119" s="733">
        <v>56.45</v>
      </c>
    </row>
    <row r="120" spans="1:17" ht="24.6">
      <c r="A120" s="370" t="s">
        <v>2953</v>
      </c>
      <c r="B120" s="398"/>
      <c r="C120" s="398"/>
      <c r="D120" s="388" t="s">
        <v>45</v>
      </c>
      <c r="E120" s="396" t="s">
        <v>2954</v>
      </c>
      <c r="F120" s="373" t="s">
        <v>2954</v>
      </c>
      <c r="G120" s="731">
        <f t="shared" si="3"/>
        <v>54.3</v>
      </c>
      <c r="H120" s="734"/>
      <c r="I120" s="733"/>
      <c r="J120" s="733"/>
      <c r="N120" s="816">
        <f>Q120*M2</f>
        <v>54.285000000000004</v>
      </c>
      <c r="Q120" s="733">
        <v>49.35</v>
      </c>
    </row>
    <row r="121" spans="1:17" ht="24.6">
      <c r="A121" s="370" t="s">
        <v>2955</v>
      </c>
      <c r="B121" s="398"/>
      <c r="C121" s="398"/>
      <c r="D121" s="388" t="s">
        <v>45</v>
      </c>
      <c r="E121" s="396" t="s">
        <v>2956</v>
      </c>
      <c r="F121" s="373" t="s">
        <v>2956</v>
      </c>
      <c r="G121" s="731">
        <f t="shared" si="3"/>
        <v>91.7</v>
      </c>
      <c r="H121" s="734"/>
      <c r="I121" s="733"/>
      <c r="J121" s="733"/>
      <c r="N121" s="816">
        <f>Q121*M2</f>
        <v>91.685000000000002</v>
      </c>
      <c r="Q121" s="733">
        <v>83.35</v>
      </c>
    </row>
    <row r="122" spans="1:17" ht="24.6">
      <c r="A122" s="403" t="s">
        <v>2957</v>
      </c>
      <c r="B122" s="403"/>
      <c r="C122" s="403"/>
      <c r="D122" s="403"/>
      <c r="E122" s="403"/>
      <c r="F122" s="373"/>
      <c r="G122" s="731"/>
      <c r="H122" s="734"/>
      <c r="I122" s="733"/>
      <c r="J122" s="733"/>
      <c r="N122" s="816"/>
      <c r="Q122" s="733"/>
    </row>
    <row r="123" spans="1:17" ht="21">
      <c r="A123" s="385">
        <v>750</v>
      </c>
      <c r="B123" s="386" t="s">
        <v>2754</v>
      </c>
      <c r="C123" s="387" t="s">
        <v>2856</v>
      </c>
      <c r="D123" s="388" t="s">
        <v>58</v>
      </c>
      <c r="E123" s="399" t="s">
        <v>2958</v>
      </c>
      <c r="F123" s="373" t="s">
        <v>2958</v>
      </c>
      <c r="G123" s="731">
        <f t="shared" si="3"/>
        <v>95.45</v>
      </c>
      <c r="H123" s="732">
        <f t="shared" ref="H123:H156" si="4">ROUND(J123*2,1)/2</f>
        <v>105</v>
      </c>
      <c r="I123" s="733"/>
      <c r="J123" s="733">
        <f t="shared" ref="J123:J156" si="5">G123*1.1</f>
        <v>104.995</v>
      </c>
      <c r="N123" s="816">
        <f>Q123*M2</f>
        <v>95.425000000000011</v>
      </c>
      <c r="Q123" s="733">
        <v>86.75</v>
      </c>
    </row>
    <row r="124" spans="1:17" ht="21">
      <c r="A124" s="385">
        <v>1350</v>
      </c>
      <c r="B124" s="386" t="s">
        <v>2754</v>
      </c>
      <c r="C124" s="387" t="s">
        <v>2856</v>
      </c>
      <c r="D124" s="388" t="s">
        <v>58</v>
      </c>
      <c r="E124" s="400" t="s">
        <v>2959</v>
      </c>
      <c r="F124" s="373" t="s">
        <v>2959</v>
      </c>
      <c r="G124" s="731">
        <f t="shared" si="3"/>
        <v>100</v>
      </c>
      <c r="H124" s="732">
        <f t="shared" si="4"/>
        <v>110</v>
      </c>
      <c r="I124" s="733"/>
      <c r="J124" s="733">
        <f t="shared" si="5"/>
        <v>110.00000000000001</v>
      </c>
      <c r="N124" s="816">
        <f>Q124*M2</f>
        <v>99.990000000000009</v>
      </c>
      <c r="Q124" s="733">
        <v>90.9</v>
      </c>
    </row>
    <row r="125" spans="1:17" ht="24.6">
      <c r="A125" s="403" t="s">
        <v>2960</v>
      </c>
      <c r="B125" s="403"/>
      <c r="C125" s="403"/>
      <c r="D125" s="403"/>
      <c r="E125" s="403"/>
      <c r="F125" s="373"/>
      <c r="G125" s="731"/>
      <c r="H125" s="732"/>
      <c r="I125" s="733"/>
      <c r="J125" s="733"/>
      <c r="N125" s="816"/>
      <c r="Q125" s="733"/>
    </row>
    <row r="126" spans="1:17" ht="21">
      <c r="A126" s="385">
        <v>750</v>
      </c>
      <c r="B126" s="386" t="s">
        <v>2754</v>
      </c>
      <c r="C126" s="387" t="s">
        <v>2856</v>
      </c>
      <c r="D126" s="388" t="s">
        <v>58</v>
      </c>
      <c r="E126" s="389" t="s">
        <v>2961</v>
      </c>
      <c r="F126" s="373" t="s">
        <v>2961</v>
      </c>
      <c r="G126" s="731">
        <f t="shared" si="3"/>
        <v>101.15</v>
      </c>
      <c r="H126" s="732">
        <f t="shared" si="4"/>
        <v>111.25</v>
      </c>
      <c r="I126" s="733"/>
      <c r="J126" s="733">
        <f t="shared" si="5"/>
        <v>111.26500000000001</v>
      </c>
      <c r="N126" s="816">
        <f>Q126*M2</f>
        <v>101.14500000000001</v>
      </c>
      <c r="Q126" s="733">
        <v>91.95</v>
      </c>
    </row>
    <row r="127" spans="1:17" ht="21">
      <c r="A127" s="385">
        <v>1350</v>
      </c>
      <c r="B127" s="386" t="s">
        <v>2754</v>
      </c>
      <c r="C127" s="387" t="s">
        <v>2856</v>
      </c>
      <c r="D127" s="388" t="s">
        <v>58</v>
      </c>
      <c r="E127" s="389" t="s">
        <v>2962</v>
      </c>
      <c r="F127" s="373" t="s">
        <v>2962</v>
      </c>
      <c r="G127" s="731">
        <f t="shared" si="3"/>
        <v>106.5</v>
      </c>
      <c r="H127" s="732">
        <f t="shared" si="4"/>
        <v>117.15</v>
      </c>
      <c r="I127" s="733"/>
      <c r="J127" s="733">
        <f t="shared" si="5"/>
        <v>117.15</v>
      </c>
      <c r="N127" s="816">
        <f>Q127*M2</f>
        <v>106.48</v>
      </c>
      <c r="Q127" s="733">
        <v>96.8</v>
      </c>
    </row>
    <row r="128" spans="1:17" ht="21">
      <c r="A128" s="385">
        <v>1750</v>
      </c>
      <c r="B128" s="386" t="s">
        <v>2754</v>
      </c>
      <c r="C128" s="387" t="s">
        <v>2856</v>
      </c>
      <c r="D128" s="388" t="s">
        <v>58</v>
      </c>
      <c r="E128" s="389" t="s">
        <v>2963</v>
      </c>
      <c r="F128" s="373" t="s">
        <v>2963</v>
      </c>
      <c r="G128" s="731">
        <f t="shared" si="3"/>
        <v>110.1</v>
      </c>
      <c r="H128" s="732">
        <f t="shared" si="4"/>
        <v>121.1</v>
      </c>
      <c r="I128" s="733"/>
      <c r="J128" s="733">
        <f t="shared" si="5"/>
        <v>121.11</v>
      </c>
      <c r="N128" s="816">
        <f>Q128*M2</f>
        <v>110.11</v>
      </c>
      <c r="Q128" s="733">
        <v>100.1</v>
      </c>
    </row>
    <row r="129" spans="1:17" ht="21">
      <c r="A129" s="385">
        <v>2150</v>
      </c>
      <c r="B129" s="386" t="s">
        <v>2754</v>
      </c>
      <c r="C129" s="387" t="s">
        <v>2856</v>
      </c>
      <c r="D129" s="388" t="s">
        <v>58</v>
      </c>
      <c r="E129" s="389" t="s">
        <v>2964</v>
      </c>
      <c r="F129" s="373" t="s">
        <v>2964</v>
      </c>
      <c r="G129" s="731">
        <f t="shared" si="3"/>
        <v>113.65</v>
      </c>
      <c r="H129" s="732">
        <f t="shared" si="4"/>
        <v>125</v>
      </c>
      <c r="I129" s="733"/>
      <c r="J129" s="733">
        <f t="shared" si="5"/>
        <v>125.01500000000001</v>
      </c>
      <c r="N129" s="816">
        <f>Q129*M2</f>
        <v>113.63000000000001</v>
      </c>
      <c r="Q129" s="733">
        <v>103.3</v>
      </c>
    </row>
    <row r="130" spans="1:17" ht="24.6">
      <c r="A130" s="403" t="s">
        <v>2965</v>
      </c>
      <c r="B130" s="403"/>
      <c r="C130" s="403"/>
      <c r="D130" s="403"/>
      <c r="E130" s="403"/>
      <c r="F130" s="373"/>
      <c r="G130" s="731"/>
      <c r="H130" s="732"/>
      <c r="I130" s="733"/>
      <c r="J130" s="733"/>
      <c r="N130" s="816"/>
      <c r="Q130" s="733"/>
    </row>
    <row r="131" spans="1:17" ht="21">
      <c r="A131" s="385">
        <v>750</v>
      </c>
      <c r="B131" s="386" t="s">
        <v>2754</v>
      </c>
      <c r="C131" s="387" t="s">
        <v>2856</v>
      </c>
      <c r="D131" s="388" t="s">
        <v>58</v>
      </c>
      <c r="E131" s="400" t="s">
        <v>2966</v>
      </c>
      <c r="F131" s="373" t="s">
        <v>2966</v>
      </c>
      <c r="G131" s="731">
        <f t="shared" si="3"/>
        <v>26.75</v>
      </c>
      <c r="H131" s="732">
        <f t="shared" si="4"/>
        <v>29.45</v>
      </c>
      <c r="I131" s="733"/>
      <c r="J131" s="733">
        <f t="shared" si="5"/>
        <v>29.425000000000001</v>
      </c>
      <c r="N131" s="816">
        <f>Q131*M2</f>
        <v>26.730000000000004</v>
      </c>
      <c r="Q131" s="733">
        <v>24.3</v>
      </c>
    </row>
    <row r="132" spans="1:17" ht="21">
      <c r="A132" s="385">
        <v>1350</v>
      </c>
      <c r="B132" s="386" t="s">
        <v>2754</v>
      </c>
      <c r="C132" s="387" t="s">
        <v>2856</v>
      </c>
      <c r="D132" s="388" t="s">
        <v>58</v>
      </c>
      <c r="E132" s="400" t="s">
        <v>2967</v>
      </c>
      <c r="F132" s="373" t="s">
        <v>2967</v>
      </c>
      <c r="G132" s="731">
        <f t="shared" si="3"/>
        <v>31.3</v>
      </c>
      <c r="H132" s="732">
        <f t="shared" si="4"/>
        <v>34.450000000000003</v>
      </c>
      <c r="I132" s="733"/>
      <c r="J132" s="733">
        <f t="shared" si="5"/>
        <v>34.430000000000007</v>
      </c>
      <c r="N132" s="816">
        <f>Q132*M2</f>
        <v>31.295000000000002</v>
      </c>
      <c r="Q132" s="733">
        <v>28.45</v>
      </c>
    </row>
    <row r="133" spans="1:17" ht="21">
      <c r="A133" s="390" t="s">
        <v>2844</v>
      </c>
      <c r="B133" s="387"/>
      <c r="C133" s="387"/>
      <c r="D133" s="388" t="s">
        <v>45</v>
      </c>
      <c r="E133" s="400" t="s">
        <v>2968</v>
      </c>
      <c r="F133" s="373" t="s">
        <v>2968</v>
      </c>
      <c r="G133" s="731">
        <f t="shared" si="3"/>
        <v>49.35</v>
      </c>
      <c r="H133" s="732">
        <f t="shared" si="4"/>
        <v>54.3</v>
      </c>
      <c r="I133" s="733"/>
      <c r="J133" s="733">
        <f t="shared" si="5"/>
        <v>54.285000000000004</v>
      </c>
      <c r="K133" s="384"/>
      <c r="N133" s="816">
        <f>Q133*M2</f>
        <v>49.335000000000008</v>
      </c>
      <c r="Q133" s="733">
        <v>44.85</v>
      </c>
    </row>
    <row r="134" spans="1:17" ht="24.6">
      <c r="A134" s="403" t="s">
        <v>2969</v>
      </c>
      <c r="B134" s="403"/>
      <c r="C134" s="403"/>
      <c r="D134" s="403"/>
      <c r="E134" s="403"/>
      <c r="F134" s="373"/>
      <c r="G134" s="731"/>
      <c r="H134" s="732"/>
      <c r="I134" s="733"/>
      <c r="J134" s="733"/>
      <c r="N134" s="816"/>
      <c r="Q134" s="733"/>
    </row>
    <row r="135" spans="1:17" ht="21">
      <c r="A135" s="385">
        <v>750</v>
      </c>
      <c r="B135" s="386" t="s">
        <v>2754</v>
      </c>
      <c r="C135" s="387" t="s">
        <v>2856</v>
      </c>
      <c r="D135" s="388" t="s">
        <v>58</v>
      </c>
      <c r="E135" s="389" t="s">
        <v>2970</v>
      </c>
      <c r="F135" s="373" t="s">
        <v>2970</v>
      </c>
      <c r="G135" s="731">
        <f t="shared" si="3"/>
        <v>25.75</v>
      </c>
      <c r="H135" s="732">
        <f t="shared" si="4"/>
        <v>28.35</v>
      </c>
      <c r="I135" s="733"/>
      <c r="J135" s="733">
        <f t="shared" si="5"/>
        <v>28.325000000000003</v>
      </c>
      <c r="N135" s="816">
        <f>Q135*M2</f>
        <v>25.742640000000002</v>
      </c>
      <c r="Q135" s="733">
        <v>23.4024</v>
      </c>
    </row>
    <row r="136" spans="1:17" ht="21">
      <c r="A136" s="385">
        <v>1350</v>
      </c>
      <c r="B136" s="386" t="s">
        <v>2754</v>
      </c>
      <c r="C136" s="387" t="s">
        <v>2856</v>
      </c>
      <c r="D136" s="388" t="s">
        <v>58</v>
      </c>
      <c r="E136" s="389" t="s">
        <v>2971</v>
      </c>
      <c r="F136" s="373" t="s">
        <v>2971</v>
      </c>
      <c r="G136" s="731">
        <f t="shared" si="3"/>
        <v>31.15</v>
      </c>
      <c r="H136" s="732">
        <f t="shared" si="4"/>
        <v>34.25</v>
      </c>
      <c r="I136" s="733"/>
      <c r="J136" s="733">
        <f t="shared" si="5"/>
        <v>34.265000000000001</v>
      </c>
      <c r="N136" s="816">
        <f>Q136*M2</f>
        <v>31.130000000000003</v>
      </c>
      <c r="Q136" s="733">
        <v>28.3</v>
      </c>
    </row>
    <row r="137" spans="1:17" ht="21">
      <c r="A137" s="385">
        <v>1750</v>
      </c>
      <c r="B137" s="386" t="s">
        <v>2754</v>
      </c>
      <c r="C137" s="387" t="s">
        <v>2856</v>
      </c>
      <c r="D137" s="388" t="s">
        <v>58</v>
      </c>
      <c r="E137" s="389" t="s">
        <v>2972</v>
      </c>
      <c r="F137" s="373" t="s">
        <v>2972</v>
      </c>
      <c r="G137" s="731">
        <f t="shared" si="3"/>
        <v>34.700000000000003</v>
      </c>
      <c r="H137" s="732">
        <f t="shared" si="4"/>
        <v>38.15</v>
      </c>
      <c r="I137" s="733"/>
      <c r="J137" s="733">
        <f t="shared" si="5"/>
        <v>38.170000000000009</v>
      </c>
      <c r="N137" s="816">
        <f>Q137*M2</f>
        <v>34.705000000000005</v>
      </c>
      <c r="Q137" s="733">
        <v>31.55</v>
      </c>
    </row>
    <row r="138" spans="1:17" ht="21">
      <c r="A138" s="385">
        <v>2150</v>
      </c>
      <c r="B138" s="386" t="s">
        <v>2754</v>
      </c>
      <c r="C138" s="387" t="s">
        <v>2856</v>
      </c>
      <c r="D138" s="388" t="s">
        <v>58</v>
      </c>
      <c r="E138" s="389" t="s">
        <v>2973</v>
      </c>
      <c r="F138" s="373" t="s">
        <v>2973</v>
      </c>
      <c r="G138" s="731">
        <f t="shared" ref="G138:G195" si="6">ROUND(N138*2,1)/2</f>
        <v>38.35</v>
      </c>
      <c r="H138" s="732">
        <f t="shared" si="4"/>
        <v>42.2</v>
      </c>
      <c r="I138" s="733"/>
      <c r="J138" s="733">
        <f t="shared" si="5"/>
        <v>42.185000000000002</v>
      </c>
      <c r="N138" s="816">
        <f>Q138*M2</f>
        <v>38.335000000000008</v>
      </c>
      <c r="Q138" s="733">
        <v>34.85</v>
      </c>
    </row>
    <row r="139" spans="1:17" ht="21">
      <c r="A139" s="390" t="s">
        <v>2844</v>
      </c>
      <c r="B139" s="387"/>
      <c r="C139" s="387"/>
      <c r="D139" s="388" t="s">
        <v>45</v>
      </c>
      <c r="E139" s="389" t="s">
        <v>2974</v>
      </c>
      <c r="F139" s="373" t="s">
        <v>2974</v>
      </c>
      <c r="G139" s="731">
        <f t="shared" si="6"/>
        <v>99.75</v>
      </c>
      <c r="H139" s="732">
        <f t="shared" si="4"/>
        <v>109.75</v>
      </c>
      <c r="I139" s="733"/>
      <c r="J139" s="733">
        <f t="shared" si="5"/>
        <v>109.72500000000001</v>
      </c>
      <c r="K139" s="384"/>
      <c r="N139" s="816">
        <f>Q139*M2</f>
        <v>99.77000000000001</v>
      </c>
      <c r="Q139" s="733">
        <v>90.7</v>
      </c>
    </row>
    <row r="140" spans="1:17" ht="24.6">
      <c r="A140" s="403" t="s">
        <v>2975</v>
      </c>
      <c r="B140" s="403"/>
      <c r="C140" s="403"/>
      <c r="D140" s="403"/>
      <c r="E140" s="403"/>
      <c r="F140" s="373"/>
      <c r="G140" s="731"/>
      <c r="H140" s="732"/>
      <c r="I140" s="733"/>
      <c r="J140" s="733"/>
      <c r="N140" s="816"/>
      <c r="Q140" s="733"/>
    </row>
    <row r="141" spans="1:17" ht="21">
      <c r="A141" s="385">
        <v>750</v>
      </c>
      <c r="B141" s="386" t="s">
        <v>2754</v>
      </c>
      <c r="C141" s="387" t="s">
        <v>2856</v>
      </c>
      <c r="D141" s="388" t="s">
        <v>58</v>
      </c>
      <c r="E141" s="389" t="s">
        <v>2976</v>
      </c>
      <c r="F141" s="373" t="s">
        <v>2976</v>
      </c>
      <c r="G141" s="731">
        <f t="shared" si="6"/>
        <v>107.75</v>
      </c>
      <c r="H141" s="732">
        <f t="shared" si="4"/>
        <v>118.55</v>
      </c>
      <c r="I141" s="733"/>
      <c r="J141" s="733">
        <f t="shared" si="5"/>
        <v>118.52500000000001</v>
      </c>
      <c r="N141" s="816">
        <f>Q141*M2</f>
        <v>107.74500000000002</v>
      </c>
      <c r="Q141" s="733">
        <v>97.95</v>
      </c>
    </row>
    <row r="142" spans="1:17" ht="21">
      <c r="A142" s="385">
        <v>1350</v>
      </c>
      <c r="B142" s="386" t="s">
        <v>2754</v>
      </c>
      <c r="C142" s="387" t="s">
        <v>2856</v>
      </c>
      <c r="D142" s="388" t="s">
        <v>58</v>
      </c>
      <c r="E142" s="389" t="s">
        <v>2977</v>
      </c>
      <c r="F142" s="373" t="s">
        <v>2977</v>
      </c>
      <c r="G142" s="731">
        <f t="shared" si="6"/>
        <v>118.25</v>
      </c>
      <c r="H142" s="732">
        <f t="shared" si="4"/>
        <v>130.1</v>
      </c>
      <c r="I142" s="733"/>
      <c r="J142" s="733">
        <f t="shared" si="5"/>
        <v>130.07500000000002</v>
      </c>
      <c r="N142" s="816">
        <f>Q142*M2</f>
        <v>118.25000000000001</v>
      </c>
      <c r="Q142" s="733">
        <v>107.5</v>
      </c>
    </row>
    <row r="143" spans="1:17" ht="21">
      <c r="A143" s="385">
        <v>1750</v>
      </c>
      <c r="B143" s="386" t="s">
        <v>2754</v>
      </c>
      <c r="C143" s="387" t="s">
        <v>2856</v>
      </c>
      <c r="D143" s="388" t="s">
        <v>58</v>
      </c>
      <c r="E143" s="389" t="s">
        <v>2978</v>
      </c>
      <c r="F143" s="373" t="s">
        <v>2978</v>
      </c>
      <c r="G143" s="731">
        <f t="shared" si="6"/>
        <v>125.4</v>
      </c>
      <c r="H143" s="732">
        <f t="shared" si="4"/>
        <v>137.94999999999999</v>
      </c>
      <c r="I143" s="733"/>
      <c r="J143" s="733">
        <f t="shared" si="5"/>
        <v>137.94000000000003</v>
      </c>
      <c r="N143" s="816">
        <f>Q143*M2</f>
        <v>125.4</v>
      </c>
      <c r="Q143" s="733">
        <v>114</v>
      </c>
    </row>
    <row r="144" spans="1:17" ht="21">
      <c r="A144" s="385">
        <v>2150</v>
      </c>
      <c r="B144" s="386" t="s">
        <v>2754</v>
      </c>
      <c r="C144" s="387" t="s">
        <v>2856</v>
      </c>
      <c r="D144" s="388" t="s">
        <v>58</v>
      </c>
      <c r="E144" s="389" t="s">
        <v>2979</v>
      </c>
      <c r="F144" s="373" t="s">
        <v>2979</v>
      </c>
      <c r="G144" s="731">
        <f t="shared" si="6"/>
        <v>132.44999999999999</v>
      </c>
      <c r="H144" s="732">
        <f t="shared" si="4"/>
        <v>145.69999999999999</v>
      </c>
      <c r="I144" s="733"/>
      <c r="J144" s="733">
        <f t="shared" si="5"/>
        <v>145.69499999999999</v>
      </c>
      <c r="N144" s="816">
        <f>Q144*M2</f>
        <v>132.44000000000003</v>
      </c>
      <c r="Q144" s="733">
        <v>120.4</v>
      </c>
    </row>
    <row r="145" spans="1:17" ht="24.6">
      <c r="A145" s="403" t="s">
        <v>2980</v>
      </c>
      <c r="B145" s="403"/>
      <c r="C145" s="403"/>
      <c r="D145" s="403"/>
      <c r="E145" s="403"/>
      <c r="F145" s="373"/>
      <c r="G145" s="731"/>
      <c r="H145" s="732"/>
      <c r="I145" s="733"/>
      <c r="J145" s="733"/>
      <c r="N145" s="816"/>
      <c r="Q145" s="733"/>
    </row>
    <row r="146" spans="1:17" ht="21">
      <c r="A146" s="385">
        <v>750</v>
      </c>
      <c r="B146" s="386" t="s">
        <v>2754</v>
      </c>
      <c r="C146" s="387" t="s">
        <v>2856</v>
      </c>
      <c r="D146" s="388" t="s">
        <v>58</v>
      </c>
      <c r="E146" s="389" t="s">
        <v>2981</v>
      </c>
      <c r="F146" s="373" t="s">
        <v>2981</v>
      </c>
      <c r="G146" s="731">
        <f t="shared" si="6"/>
        <v>32.35</v>
      </c>
      <c r="H146" s="732">
        <f t="shared" si="4"/>
        <v>35.6</v>
      </c>
      <c r="I146" s="733"/>
      <c r="J146" s="733">
        <f t="shared" si="5"/>
        <v>35.585000000000008</v>
      </c>
      <c r="N146" s="816">
        <f>Q146*M2</f>
        <v>32.340000000000003</v>
      </c>
      <c r="Q146" s="733">
        <v>29.400000000000002</v>
      </c>
    </row>
    <row r="147" spans="1:17" ht="21">
      <c r="A147" s="385">
        <v>1350</v>
      </c>
      <c r="B147" s="386" t="s">
        <v>2754</v>
      </c>
      <c r="C147" s="387" t="s">
        <v>2856</v>
      </c>
      <c r="D147" s="388" t="s">
        <v>58</v>
      </c>
      <c r="E147" s="389" t="s">
        <v>2982</v>
      </c>
      <c r="F147" s="373" t="s">
        <v>2982</v>
      </c>
      <c r="G147" s="731">
        <f t="shared" si="6"/>
        <v>42.95</v>
      </c>
      <c r="H147" s="732">
        <f t="shared" si="4"/>
        <v>47.25</v>
      </c>
      <c r="I147" s="733"/>
      <c r="J147" s="733">
        <f t="shared" si="5"/>
        <v>47.245000000000005</v>
      </c>
      <c r="N147" s="816">
        <f>Q147*M2</f>
        <v>42.954999999999998</v>
      </c>
      <c r="Q147" s="733">
        <v>39.049999999999997</v>
      </c>
    </row>
    <row r="148" spans="1:17" ht="21">
      <c r="A148" s="385">
        <v>1750</v>
      </c>
      <c r="B148" s="386" t="s">
        <v>2754</v>
      </c>
      <c r="C148" s="387" t="s">
        <v>2856</v>
      </c>
      <c r="D148" s="388" t="s">
        <v>58</v>
      </c>
      <c r="E148" s="389" t="s">
        <v>2983</v>
      </c>
      <c r="F148" s="373" t="s">
        <v>2983</v>
      </c>
      <c r="G148" s="731">
        <f t="shared" si="6"/>
        <v>50.05</v>
      </c>
      <c r="H148" s="732">
        <f t="shared" si="4"/>
        <v>55.05</v>
      </c>
      <c r="I148" s="733"/>
      <c r="J148" s="733">
        <f t="shared" si="5"/>
        <v>55.055</v>
      </c>
      <c r="N148" s="816">
        <f>Q148*M2</f>
        <v>50.050000000000004</v>
      </c>
      <c r="Q148" s="733">
        <v>45.5</v>
      </c>
    </row>
    <row r="149" spans="1:17" ht="21">
      <c r="A149" s="385">
        <v>2150</v>
      </c>
      <c r="B149" s="386" t="s">
        <v>2754</v>
      </c>
      <c r="C149" s="387" t="s">
        <v>2856</v>
      </c>
      <c r="D149" s="388" t="s">
        <v>58</v>
      </c>
      <c r="E149" s="389" t="s">
        <v>2984</v>
      </c>
      <c r="F149" s="373" t="s">
        <v>2984</v>
      </c>
      <c r="G149" s="731">
        <f t="shared" si="6"/>
        <v>57.1</v>
      </c>
      <c r="H149" s="732">
        <f t="shared" si="4"/>
        <v>62.8</v>
      </c>
      <c r="I149" s="733"/>
      <c r="J149" s="733">
        <f t="shared" si="5"/>
        <v>62.810000000000009</v>
      </c>
      <c r="N149" s="816">
        <f>Q149*M2</f>
        <v>57.09</v>
      </c>
      <c r="Q149" s="733">
        <v>51.9</v>
      </c>
    </row>
    <row r="150" spans="1:17" ht="21">
      <c r="A150" s="390" t="s">
        <v>2844</v>
      </c>
      <c r="B150" s="387"/>
      <c r="C150" s="387"/>
      <c r="D150" s="388" t="s">
        <v>45</v>
      </c>
      <c r="E150" s="389" t="s">
        <v>2985</v>
      </c>
      <c r="F150" s="373" t="s">
        <v>2985</v>
      </c>
      <c r="G150" s="731">
        <f t="shared" si="6"/>
        <v>139.80000000000001</v>
      </c>
      <c r="H150" s="732">
        <f t="shared" si="4"/>
        <v>153.80000000000001</v>
      </c>
      <c r="I150" s="733"/>
      <c r="J150" s="733">
        <f t="shared" si="5"/>
        <v>153.78000000000003</v>
      </c>
      <c r="N150" s="816">
        <f>Q150*M2</f>
        <v>139.81</v>
      </c>
      <c r="Q150" s="733">
        <v>127.1</v>
      </c>
    </row>
    <row r="151" spans="1:17" ht="24.6">
      <c r="A151" s="403" t="s">
        <v>2986</v>
      </c>
      <c r="B151" s="403"/>
      <c r="C151" s="403"/>
      <c r="D151" s="403"/>
      <c r="E151" s="403"/>
      <c r="F151" s="373"/>
      <c r="G151" s="731"/>
      <c r="H151" s="732"/>
      <c r="I151" s="733"/>
      <c r="J151" s="733"/>
      <c r="N151" s="816"/>
      <c r="Q151" s="733"/>
    </row>
    <row r="152" spans="1:17" ht="21">
      <c r="A152" s="390" t="s">
        <v>1448</v>
      </c>
      <c r="B152" s="387"/>
      <c r="C152" s="387"/>
      <c r="D152" s="388" t="s">
        <v>2987</v>
      </c>
      <c r="E152" s="389" t="s">
        <v>2988</v>
      </c>
      <c r="F152" s="373" t="s">
        <v>2988</v>
      </c>
      <c r="G152" s="731">
        <f t="shared" si="6"/>
        <v>14.7</v>
      </c>
      <c r="H152" s="732"/>
      <c r="I152" s="733"/>
      <c r="J152" s="733"/>
      <c r="N152" s="816">
        <f>Q152*M2</f>
        <v>14.682360000000003</v>
      </c>
      <c r="Q152" s="733">
        <v>13.347600000000002</v>
      </c>
    </row>
    <row r="153" spans="1:17" ht="24.6">
      <c r="A153" s="403" t="s">
        <v>2989</v>
      </c>
      <c r="B153" s="403"/>
      <c r="C153" s="403"/>
      <c r="D153" s="403"/>
      <c r="E153" s="403"/>
      <c r="F153" s="373"/>
      <c r="G153" s="731"/>
      <c r="H153" s="732"/>
      <c r="I153" s="733"/>
      <c r="J153" s="733"/>
      <c r="N153" s="816"/>
      <c r="Q153" s="733"/>
    </row>
    <row r="154" spans="1:17" ht="21">
      <c r="A154" s="390" t="s">
        <v>2990</v>
      </c>
      <c r="B154" s="387"/>
      <c r="C154" s="387"/>
      <c r="D154" s="388" t="s">
        <v>2991</v>
      </c>
      <c r="E154" s="389" t="s">
        <v>2992</v>
      </c>
      <c r="F154" s="373" t="s">
        <v>2992</v>
      </c>
      <c r="G154" s="731">
        <f t="shared" si="6"/>
        <v>199.75</v>
      </c>
      <c r="H154" s="732"/>
      <c r="I154" s="733"/>
      <c r="J154" s="733"/>
      <c r="N154" s="816">
        <f>Q154*M2</f>
        <v>199.76000000000002</v>
      </c>
      <c r="Q154" s="733">
        <v>181.6</v>
      </c>
    </row>
    <row r="155" spans="1:17" ht="24.6">
      <c r="A155" s="390" t="s">
        <v>3774</v>
      </c>
      <c r="B155" s="395"/>
      <c r="C155" s="395"/>
      <c r="D155" s="388" t="s">
        <v>28</v>
      </c>
      <c r="E155" s="378" t="s">
        <v>3775</v>
      </c>
      <c r="F155" s="378" t="s">
        <v>3775</v>
      </c>
      <c r="G155" s="731">
        <f t="shared" si="6"/>
        <v>116.4</v>
      </c>
      <c r="H155" s="732">
        <f t="shared" si="4"/>
        <v>128.05000000000001</v>
      </c>
      <c r="I155" s="733"/>
      <c r="J155" s="733">
        <f t="shared" si="5"/>
        <v>128.04000000000002</v>
      </c>
      <c r="N155" s="816">
        <f>Q155*M2</f>
        <v>116.38000000000001</v>
      </c>
      <c r="Q155" s="733">
        <v>105.8</v>
      </c>
    </row>
    <row r="156" spans="1:17" ht="21">
      <c r="A156" s="390" t="s">
        <v>3913</v>
      </c>
      <c r="B156" s="387"/>
      <c r="C156" s="387"/>
      <c r="D156" s="388" t="s">
        <v>28</v>
      </c>
      <c r="E156" s="378" t="s">
        <v>3776</v>
      </c>
      <c r="F156" s="378" t="s">
        <v>3776</v>
      </c>
      <c r="G156" s="731">
        <f t="shared" si="6"/>
        <v>45.7</v>
      </c>
      <c r="H156" s="732">
        <f t="shared" si="4"/>
        <v>50.25</v>
      </c>
      <c r="I156" s="733"/>
      <c r="J156" s="733">
        <f t="shared" si="5"/>
        <v>50.27000000000001</v>
      </c>
      <c r="N156" s="816">
        <f>Q156*M2</f>
        <v>45.704999999999998</v>
      </c>
      <c r="Q156" s="733">
        <v>41.55</v>
      </c>
    </row>
    <row r="157" spans="1:17" ht="24.6">
      <c r="A157" s="403"/>
      <c r="B157" s="403"/>
      <c r="C157" s="403"/>
      <c r="D157" s="403"/>
      <c r="E157" s="403"/>
      <c r="F157" s="373"/>
      <c r="G157" s="731"/>
      <c r="H157" s="734"/>
      <c r="I157" s="733"/>
      <c r="J157" s="733"/>
      <c r="N157" s="816"/>
      <c r="Q157" s="733"/>
    </row>
    <row r="158" spans="1:17" ht="24.6">
      <c r="A158" s="403" t="s">
        <v>2993</v>
      </c>
      <c r="B158" s="403"/>
      <c r="C158" s="403"/>
      <c r="D158" s="403"/>
      <c r="E158" s="403"/>
      <c r="F158" s="373"/>
      <c r="G158" s="731"/>
      <c r="H158" s="734"/>
      <c r="I158" s="733"/>
      <c r="J158" s="733"/>
      <c r="N158" s="816"/>
      <c r="Q158" s="733"/>
    </row>
    <row r="159" spans="1:17" ht="21">
      <c r="A159" s="390"/>
      <c r="B159" s="41"/>
      <c r="C159" s="41"/>
      <c r="D159" s="388"/>
      <c r="F159" s="373"/>
      <c r="G159" s="731"/>
      <c r="H159" s="734"/>
      <c r="I159" s="733"/>
      <c r="J159" s="733"/>
      <c r="N159" s="816"/>
      <c r="Q159" s="733"/>
    </row>
    <row r="160" spans="1:17" ht="21">
      <c r="A160" s="390" t="s">
        <v>643</v>
      </c>
      <c r="B160" s="401"/>
      <c r="C160" s="401"/>
      <c r="D160" s="388" t="s">
        <v>58</v>
      </c>
      <c r="E160" s="402" t="s">
        <v>2994</v>
      </c>
      <c r="F160" s="373" t="s">
        <v>2994</v>
      </c>
      <c r="G160" s="731">
        <f t="shared" si="6"/>
        <v>20.65</v>
      </c>
      <c r="H160" s="734"/>
      <c r="I160" s="733"/>
      <c r="J160" s="733"/>
      <c r="N160" s="816">
        <f>Q160*M2</f>
        <v>20.625</v>
      </c>
      <c r="Q160" s="733">
        <v>18.75</v>
      </c>
    </row>
    <row r="161" spans="1:17" ht="21">
      <c r="A161" s="390" t="s">
        <v>2995</v>
      </c>
      <c r="B161" s="401"/>
      <c r="C161" s="401"/>
      <c r="D161" s="388" t="s">
        <v>58</v>
      </c>
      <c r="E161" s="402" t="s">
        <v>2996</v>
      </c>
      <c r="F161" s="373" t="s">
        <v>2996</v>
      </c>
      <c r="G161" s="731">
        <f t="shared" si="6"/>
        <v>29.05</v>
      </c>
      <c r="H161" s="734"/>
      <c r="I161" s="733"/>
      <c r="J161" s="733"/>
      <c r="N161" s="816">
        <f>Q161*M2</f>
        <v>29.04</v>
      </c>
      <c r="Q161" s="733">
        <v>26.4</v>
      </c>
    </row>
    <row r="162" spans="1:17" ht="21">
      <c r="A162" s="390" t="s">
        <v>4366</v>
      </c>
      <c r="B162" s="41"/>
      <c r="C162" s="41"/>
      <c r="D162" s="388" t="s">
        <v>58</v>
      </c>
      <c r="E162" s="402" t="s">
        <v>2997</v>
      </c>
      <c r="F162" s="373" t="s">
        <v>2997</v>
      </c>
      <c r="G162" s="731">
        <f t="shared" si="6"/>
        <v>121.75</v>
      </c>
      <c r="H162" s="734"/>
      <c r="I162" s="733"/>
      <c r="J162" s="733"/>
      <c r="N162" s="816">
        <f>Q162*M2</f>
        <v>121.77000000000001</v>
      </c>
      <c r="Q162" s="733">
        <v>110.7</v>
      </c>
    </row>
    <row r="163" spans="1:17" ht="21">
      <c r="A163" s="812"/>
      <c r="B163" s="812"/>
      <c r="C163" s="812"/>
      <c r="D163" s="812"/>
      <c r="E163" s="812"/>
      <c r="F163" s="373"/>
      <c r="G163" s="731"/>
      <c r="H163" s="734"/>
      <c r="I163" s="733"/>
      <c r="J163" s="733"/>
      <c r="N163" s="816"/>
      <c r="Q163" s="733"/>
    </row>
    <row r="164" spans="1:17" ht="24.6">
      <c r="A164" s="403" t="s">
        <v>2998</v>
      </c>
      <c r="B164" s="403"/>
      <c r="C164" s="403"/>
      <c r="D164" s="403"/>
      <c r="E164" s="403"/>
      <c r="F164" s="373"/>
      <c r="G164" s="731"/>
      <c r="H164" s="734"/>
      <c r="I164" s="733"/>
      <c r="J164" s="733"/>
      <c r="N164" s="816"/>
      <c r="Q164" s="733"/>
    </row>
    <row r="165" spans="1:17" ht="21">
      <c r="A165" s="370" t="s">
        <v>3855</v>
      </c>
      <c r="B165" s="404"/>
      <c r="C165" s="404"/>
      <c r="D165" s="405" t="s">
        <v>2999</v>
      </c>
      <c r="E165" s="406" t="s">
        <v>2742</v>
      </c>
      <c r="F165" s="407" t="s">
        <v>2742</v>
      </c>
      <c r="G165" s="731">
        <f t="shared" si="6"/>
        <v>143.30000000000001</v>
      </c>
      <c r="H165" s="739"/>
      <c r="I165" s="733"/>
      <c r="J165" s="733"/>
      <c r="N165" s="816">
        <f>Q165*M2</f>
        <v>143.27500000000001</v>
      </c>
      <c r="Q165" s="733">
        <v>130.25</v>
      </c>
    </row>
    <row r="166" spans="1:17" ht="21">
      <c r="A166" s="370" t="s">
        <v>3856</v>
      </c>
      <c r="B166" s="408"/>
      <c r="C166" s="408"/>
      <c r="D166" s="405" t="s">
        <v>2999</v>
      </c>
      <c r="E166" s="406" t="s">
        <v>2742</v>
      </c>
      <c r="F166" s="407" t="s">
        <v>2742</v>
      </c>
      <c r="G166" s="731">
        <f t="shared" si="6"/>
        <v>102.5</v>
      </c>
      <c r="H166" s="739"/>
      <c r="I166" s="733"/>
      <c r="J166" s="733"/>
      <c r="N166" s="817">
        <f>Q166*M2</f>
        <v>102.51780000000004</v>
      </c>
      <c r="Q166" s="733">
        <v>93.198000000000022</v>
      </c>
    </row>
    <row r="167" spans="1:17" ht="21">
      <c r="A167" s="370" t="s">
        <v>3000</v>
      </c>
      <c r="B167" s="409"/>
      <c r="C167" s="409"/>
      <c r="D167" s="405" t="s">
        <v>2999</v>
      </c>
      <c r="E167" s="406" t="s">
        <v>2742</v>
      </c>
      <c r="F167" s="407" t="s">
        <v>2742</v>
      </c>
      <c r="G167" s="731">
        <f t="shared" si="6"/>
        <v>136.35</v>
      </c>
      <c r="H167" s="739"/>
      <c r="I167" s="733"/>
      <c r="J167" s="733"/>
      <c r="N167" s="816">
        <f>Q167*M2</f>
        <v>136.34500000000003</v>
      </c>
      <c r="Q167" s="733">
        <v>123.95</v>
      </c>
    </row>
    <row r="168" spans="1:17" ht="21">
      <c r="A168" s="370" t="s">
        <v>3001</v>
      </c>
      <c r="B168" s="408"/>
      <c r="C168" s="408"/>
      <c r="D168" s="405" t="s">
        <v>58</v>
      </c>
      <c r="E168" s="406" t="s">
        <v>2742</v>
      </c>
      <c r="F168" s="407" t="s">
        <v>2742</v>
      </c>
      <c r="G168" s="731">
        <f t="shared" si="6"/>
        <v>227.25</v>
      </c>
      <c r="H168" s="739"/>
      <c r="I168" s="733"/>
      <c r="J168" s="733"/>
      <c r="N168" s="816">
        <f>Q168*M2</f>
        <v>227.26000000000002</v>
      </c>
      <c r="Q168" s="733">
        <v>206.6</v>
      </c>
    </row>
    <row r="169" spans="1:17" ht="21">
      <c r="A169" s="370" t="s">
        <v>3002</v>
      </c>
      <c r="B169" s="408"/>
      <c r="C169" s="408"/>
      <c r="D169" s="405" t="s">
        <v>28</v>
      </c>
      <c r="E169" s="406" t="s">
        <v>2742</v>
      </c>
      <c r="F169" s="407" t="s">
        <v>2742</v>
      </c>
      <c r="G169" s="731">
        <f t="shared" si="6"/>
        <v>99.9</v>
      </c>
      <c r="H169" s="739"/>
      <c r="I169" s="733"/>
      <c r="J169" s="733"/>
      <c r="N169" s="816">
        <f>Q169*M2</f>
        <v>99.88000000000001</v>
      </c>
      <c r="Q169" s="733">
        <v>90.8</v>
      </c>
    </row>
    <row r="170" spans="1:17" ht="21">
      <c r="A170" s="370" t="s">
        <v>2838</v>
      </c>
      <c r="B170" s="408"/>
      <c r="C170" s="408"/>
      <c r="D170" s="405" t="s">
        <v>28</v>
      </c>
      <c r="E170" s="406" t="s">
        <v>2742</v>
      </c>
      <c r="F170" s="407" t="s">
        <v>2742</v>
      </c>
      <c r="G170" s="731">
        <f t="shared" si="6"/>
        <v>90</v>
      </c>
      <c r="H170" s="739"/>
      <c r="I170" s="733"/>
      <c r="J170" s="733"/>
      <c r="N170" s="817">
        <f>Q170</f>
        <v>90</v>
      </c>
      <c r="Q170" s="733">
        <v>90</v>
      </c>
    </row>
    <row r="171" spans="1:17" ht="21">
      <c r="A171" s="390" t="s">
        <v>3957</v>
      </c>
      <c r="D171" s="388"/>
      <c r="G171" s="731">
        <f t="shared" si="6"/>
        <v>300</v>
      </c>
      <c r="H171" s="733"/>
      <c r="I171" s="733"/>
      <c r="J171" s="733"/>
      <c r="N171" s="817">
        <f>Q171</f>
        <v>300</v>
      </c>
      <c r="Q171" s="733">
        <v>300</v>
      </c>
    </row>
    <row r="172" spans="1:17" ht="21">
      <c r="A172" s="390" t="s">
        <v>3770</v>
      </c>
      <c r="B172" s="41"/>
      <c r="C172" s="41"/>
      <c r="D172" s="388" t="s">
        <v>58</v>
      </c>
      <c r="E172" s="402" t="s">
        <v>3773</v>
      </c>
      <c r="F172" s="402" t="s">
        <v>3773</v>
      </c>
      <c r="G172" s="731">
        <f t="shared" si="6"/>
        <v>46.05</v>
      </c>
      <c r="H172" s="734"/>
      <c r="I172" s="733"/>
      <c r="J172" s="733"/>
      <c r="K172" t="s">
        <v>3777</v>
      </c>
      <c r="N172" s="816">
        <f>Q172*M2</f>
        <v>46.035000000000004</v>
      </c>
      <c r="Q172" s="733">
        <v>41.85</v>
      </c>
    </row>
    <row r="173" spans="1:17" ht="21">
      <c r="A173" s="390" t="s">
        <v>3771</v>
      </c>
      <c r="B173" s="41"/>
      <c r="C173" s="41"/>
      <c r="D173" s="388" t="s">
        <v>58</v>
      </c>
      <c r="E173" s="402" t="s">
        <v>3772</v>
      </c>
      <c r="F173" s="402" t="s">
        <v>3772</v>
      </c>
      <c r="G173" s="731">
        <f t="shared" si="6"/>
        <v>46.05</v>
      </c>
      <c r="H173" s="734"/>
      <c r="I173" s="733"/>
      <c r="J173" s="733"/>
      <c r="K173" t="s">
        <v>3777</v>
      </c>
      <c r="N173" s="816">
        <f>Q173*M2</f>
        <v>46.035000000000004</v>
      </c>
      <c r="Q173" s="733">
        <v>41.85</v>
      </c>
    </row>
    <row r="174" spans="1:17" ht="21">
      <c r="A174" s="390" t="s">
        <v>3778</v>
      </c>
      <c r="B174" s="41"/>
      <c r="C174" s="41"/>
      <c r="D174" s="388" t="s">
        <v>58</v>
      </c>
      <c r="E174" s="402" t="s">
        <v>3779</v>
      </c>
      <c r="F174" s="402" t="s">
        <v>3779</v>
      </c>
      <c r="G174" s="731">
        <f t="shared" si="6"/>
        <v>0.65</v>
      </c>
      <c r="H174" s="734"/>
      <c r="I174" s="733"/>
      <c r="J174" s="733"/>
      <c r="K174" t="s">
        <v>3777</v>
      </c>
      <c r="N174" s="816">
        <f>Q174*M2</f>
        <v>0.66</v>
      </c>
      <c r="Q174" s="733">
        <v>0.6</v>
      </c>
    </row>
    <row r="175" spans="1:17" ht="21">
      <c r="A175" s="390" t="s">
        <v>3838</v>
      </c>
      <c r="D175" s="388" t="s">
        <v>28</v>
      </c>
      <c r="G175" s="731">
        <f t="shared" si="6"/>
        <v>100</v>
      </c>
      <c r="H175" s="733"/>
      <c r="I175" s="733"/>
      <c r="J175" s="733"/>
      <c r="N175" s="817">
        <f>Q175</f>
        <v>100</v>
      </c>
      <c r="Q175" s="733">
        <v>100</v>
      </c>
    </row>
    <row r="176" spans="1:17" ht="21">
      <c r="A176" s="390" t="s">
        <v>3956</v>
      </c>
      <c r="D176" s="388"/>
      <c r="G176" s="731">
        <v>5000</v>
      </c>
      <c r="H176" s="733"/>
      <c r="I176" s="733"/>
      <c r="J176" s="733"/>
      <c r="N176" s="817">
        <f>Q176</f>
        <v>1250</v>
      </c>
      <c r="Q176" s="733">
        <v>1250</v>
      </c>
    </row>
    <row r="177" spans="1:17" ht="24.6">
      <c r="A177" s="403" t="s">
        <v>2957</v>
      </c>
      <c r="B177" s="403"/>
      <c r="C177" s="403"/>
      <c r="D177" s="403"/>
      <c r="E177" s="403"/>
      <c r="F177" s="373"/>
      <c r="G177" s="731"/>
      <c r="H177" s="734"/>
      <c r="I177" s="733"/>
      <c r="J177" s="733"/>
      <c r="N177" s="816"/>
      <c r="Q177" s="733"/>
    </row>
    <row r="178" spans="1:17" ht="21">
      <c r="A178" s="379">
        <v>1750</v>
      </c>
      <c r="B178" s="386" t="s">
        <v>2754</v>
      </c>
      <c r="C178" s="387" t="s">
        <v>2856</v>
      </c>
      <c r="D178" s="388" t="s">
        <v>58</v>
      </c>
      <c r="E178" s="402" t="s">
        <v>3871</v>
      </c>
      <c r="F178" s="402" t="s">
        <v>3871</v>
      </c>
      <c r="G178" s="731">
        <f t="shared" si="6"/>
        <v>105.9</v>
      </c>
      <c r="H178" s="732">
        <f t="shared" ref="H178:H241" si="7">ROUND(J178*2,1)/2</f>
        <v>116.5</v>
      </c>
      <c r="I178" s="733"/>
      <c r="J178" s="733">
        <f t="shared" ref="J178:J179" si="8">G178*1.1</f>
        <v>116.49000000000001</v>
      </c>
      <c r="N178" s="816">
        <f>Q178*M2</f>
        <v>105.87500000000001</v>
      </c>
      <c r="Q178" s="733">
        <v>96.25</v>
      </c>
    </row>
    <row r="179" spans="1:17" ht="21">
      <c r="A179" s="379">
        <v>2150</v>
      </c>
      <c r="B179" s="386" t="s">
        <v>2754</v>
      </c>
      <c r="C179" s="387" t="s">
        <v>2856</v>
      </c>
      <c r="D179" s="388" t="s">
        <v>58</v>
      </c>
      <c r="E179" s="402" t="s">
        <v>3872</v>
      </c>
      <c r="F179" s="402" t="s">
        <v>3870</v>
      </c>
      <c r="G179" s="731">
        <f t="shared" si="6"/>
        <v>111.6</v>
      </c>
      <c r="H179" s="732">
        <f t="shared" si="7"/>
        <v>122.75</v>
      </c>
      <c r="I179" s="733"/>
      <c r="J179" s="733">
        <f t="shared" si="8"/>
        <v>122.76</v>
      </c>
      <c r="N179" s="816">
        <f>Q179*M2</f>
        <v>111.59500000000001</v>
      </c>
      <c r="Q179" s="733">
        <v>101.45</v>
      </c>
    </row>
    <row r="180" spans="1:17" ht="21">
      <c r="G180" s="731"/>
      <c r="H180" s="732"/>
      <c r="I180" s="733"/>
      <c r="J180" s="733"/>
      <c r="N180" s="816"/>
      <c r="Q180" s="733"/>
    </row>
    <row r="181" spans="1:17" ht="24.6">
      <c r="A181" s="403" t="s">
        <v>2965</v>
      </c>
      <c r="B181" s="403"/>
      <c r="C181" s="403"/>
      <c r="D181" s="403"/>
      <c r="E181" s="403"/>
      <c r="F181" s="373"/>
      <c r="G181" s="731"/>
      <c r="H181" s="732"/>
      <c r="I181" s="733"/>
      <c r="J181" s="733"/>
      <c r="N181" s="816"/>
      <c r="Q181" s="733"/>
    </row>
    <row r="182" spans="1:17" ht="21">
      <c r="A182" s="379">
        <v>1750</v>
      </c>
      <c r="B182" s="386" t="s">
        <v>2754</v>
      </c>
      <c r="C182" s="387" t="s">
        <v>2856</v>
      </c>
      <c r="D182" s="388" t="s">
        <v>58</v>
      </c>
      <c r="E182" s="402" t="s">
        <v>3869</v>
      </c>
      <c r="F182" s="402" t="s">
        <v>3869</v>
      </c>
      <c r="G182" s="731">
        <f t="shared" si="6"/>
        <v>38.450000000000003</v>
      </c>
      <c r="H182" s="732">
        <f t="shared" si="7"/>
        <v>42.3</v>
      </c>
      <c r="I182" s="733"/>
      <c r="J182" s="733">
        <f t="shared" ref="J182:J183" si="9">G182*1.1</f>
        <v>42.295000000000009</v>
      </c>
      <c r="N182" s="816">
        <f>Q182*M2</f>
        <v>38.445000000000007</v>
      </c>
      <c r="Q182" s="733">
        <v>34.950000000000003</v>
      </c>
    </row>
    <row r="183" spans="1:17" ht="21">
      <c r="A183" s="379">
        <v>2150</v>
      </c>
      <c r="B183" s="386" t="s">
        <v>2754</v>
      </c>
      <c r="C183" s="387" t="s">
        <v>2856</v>
      </c>
      <c r="D183" s="388" t="s">
        <v>58</v>
      </c>
      <c r="E183" s="402" t="s">
        <v>3870</v>
      </c>
      <c r="F183" s="402" t="s">
        <v>3870</v>
      </c>
      <c r="G183" s="731">
        <f t="shared" si="6"/>
        <v>49.5</v>
      </c>
      <c r="H183" s="732">
        <f t="shared" si="7"/>
        <v>54.45</v>
      </c>
      <c r="I183" s="733"/>
      <c r="J183" s="733">
        <f t="shared" si="9"/>
        <v>54.45</v>
      </c>
      <c r="N183" s="816">
        <f>Q183*M2</f>
        <v>49.500000000000007</v>
      </c>
      <c r="Q183" s="733">
        <v>45</v>
      </c>
    </row>
    <row r="184" spans="1:17" ht="21">
      <c r="G184" s="731"/>
      <c r="H184" s="732"/>
      <c r="I184" s="733"/>
      <c r="J184" s="733"/>
      <c r="N184" s="816"/>
      <c r="Q184" s="733"/>
    </row>
    <row r="185" spans="1:17" ht="24.6">
      <c r="A185" s="810" t="s">
        <v>2855</v>
      </c>
      <c r="B185" s="810"/>
      <c r="C185" s="810"/>
      <c r="D185" s="810"/>
      <c r="E185" s="23"/>
      <c r="F185" s="373"/>
      <c r="G185" s="731"/>
      <c r="H185" s="732"/>
      <c r="I185" s="733"/>
      <c r="J185" s="733"/>
      <c r="N185" s="816"/>
      <c r="Q185" s="733"/>
    </row>
    <row r="186" spans="1:17" ht="21">
      <c r="A186" s="379">
        <v>1750</v>
      </c>
      <c r="B186" s="380" t="s">
        <v>2754</v>
      </c>
      <c r="C186" s="381" t="s">
        <v>2856</v>
      </c>
      <c r="D186" s="377" t="s">
        <v>58</v>
      </c>
      <c r="E186" s="402" t="s">
        <v>3867</v>
      </c>
      <c r="F186" s="402" t="s">
        <v>3867</v>
      </c>
      <c r="G186" s="731">
        <f t="shared" si="6"/>
        <v>126.1</v>
      </c>
      <c r="H186" s="732">
        <f t="shared" si="7"/>
        <v>138.69999999999999</v>
      </c>
      <c r="I186" s="733"/>
      <c r="J186" s="733">
        <f t="shared" ref="J186:J187" si="10">G186*1.1</f>
        <v>138.71</v>
      </c>
      <c r="N186" s="816">
        <f>Q186*M2</f>
        <v>126.11500000000002</v>
      </c>
      <c r="Q186" s="733">
        <v>114.65</v>
      </c>
    </row>
    <row r="187" spans="1:17" ht="21">
      <c r="A187" s="379">
        <v>2150</v>
      </c>
      <c r="B187" s="380" t="s">
        <v>2754</v>
      </c>
      <c r="C187" s="381" t="s">
        <v>2856</v>
      </c>
      <c r="D187" s="377" t="s">
        <v>58</v>
      </c>
      <c r="E187" s="402" t="s">
        <v>3868</v>
      </c>
      <c r="F187" s="402" t="s">
        <v>3868</v>
      </c>
      <c r="G187" s="731">
        <f t="shared" si="6"/>
        <v>149.4</v>
      </c>
      <c r="H187" s="732">
        <f t="shared" si="7"/>
        <v>164.35</v>
      </c>
      <c r="I187" s="733"/>
      <c r="J187" s="733">
        <f t="shared" si="10"/>
        <v>164.34000000000003</v>
      </c>
      <c r="N187" s="816">
        <f>Q187*M2</f>
        <v>149.38000000000002</v>
      </c>
      <c r="Q187" s="733">
        <v>135.80000000000001</v>
      </c>
    </row>
    <row r="188" spans="1:17" ht="21">
      <c r="G188" s="731"/>
      <c r="H188" s="732"/>
      <c r="I188" s="733"/>
      <c r="J188" s="733"/>
      <c r="N188" s="816"/>
      <c r="Q188" s="733"/>
    </row>
    <row r="189" spans="1:17" ht="24.6">
      <c r="A189" s="810" t="s">
        <v>4126</v>
      </c>
      <c r="B189" s="810"/>
      <c r="C189" s="810"/>
      <c r="D189" s="810"/>
      <c r="E189" s="23"/>
      <c r="F189" s="373"/>
      <c r="G189" s="731"/>
      <c r="H189" s="732"/>
      <c r="I189" s="733"/>
      <c r="J189" s="733"/>
      <c r="N189" s="816"/>
      <c r="Q189" s="733"/>
    </row>
    <row r="190" spans="1:17" ht="21">
      <c r="A190" s="379">
        <v>1750</v>
      </c>
      <c r="B190" s="380" t="s">
        <v>2754</v>
      </c>
      <c r="C190" s="381" t="s">
        <v>2856</v>
      </c>
      <c r="D190" s="377" t="s">
        <v>58</v>
      </c>
      <c r="E190" s="378" t="s">
        <v>4129</v>
      </c>
      <c r="F190" s="378" t="s">
        <v>4129</v>
      </c>
      <c r="G190" s="731">
        <f t="shared" si="6"/>
        <v>170.95</v>
      </c>
      <c r="H190" s="732">
        <f t="shared" si="7"/>
        <v>188.05</v>
      </c>
      <c r="I190" s="733"/>
      <c r="J190" s="733">
        <f t="shared" ref="J190:J191" si="11">G190*1.1</f>
        <v>188.04500000000002</v>
      </c>
      <c r="N190" s="816">
        <f>Q190*M2</f>
        <v>170.94000000000003</v>
      </c>
      <c r="Q190" s="733">
        <v>155.4</v>
      </c>
    </row>
    <row r="191" spans="1:17" ht="21">
      <c r="A191" s="379">
        <v>2150</v>
      </c>
      <c r="B191" s="380" t="s">
        <v>2754</v>
      </c>
      <c r="C191" s="381" t="s">
        <v>2856</v>
      </c>
      <c r="D191" s="377" t="s">
        <v>58</v>
      </c>
      <c r="E191" s="378" t="s">
        <v>4130</v>
      </c>
      <c r="F191" s="378" t="s">
        <v>4130</v>
      </c>
      <c r="G191" s="731">
        <f t="shared" si="6"/>
        <v>204.5</v>
      </c>
      <c r="H191" s="732">
        <f t="shared" si="7"/>
        <v>224.95</v>
      </c>
      <c r="I191" s="733"/>
      <c r="J191" s="733">
        <f t="shared" si="11"/>
        <v>224.95000000000002</v>
      </c>
      <c r="N191" s="816">
        <f>Q191*M2</f>
        <v>204.49</v>
      </c>
      <c r="Q191" s="733">
        <v>185.9</v>
      </c>
    </row>
    <row r="192" spans="1:17" ht="21">
      <c r="G192" s="731"/>
      <c r="H192" s="732"/>
      <c r="I192" s="733"/>
      <c r="J192" s="733"/>
      <c r="N192" s="816"/>
      <c r="Q192" s="733"/>
    </row>
    <row r="193" spans="1:17" ht="24.6">
      <c r="A193" s="403" t="s">
        <v>3907</v>
      </c>
      <c r="B193" s="403"/>
      <c r="C193" s="403"/>
      <c r="D193" s="403"/>
      <c r="E193" s="403"/>
      <c r="F193" s="373"/>
      <c r="G193" s="731"/>
      <c r="H193" s="732"/>
      <c r="I193" s="733"/>
      <c r="J193" s="733"/>
      <c r="N193" s="816"/>
      <c r="Q193" s="733"/>
    </row>
    <row r="194" spans="1:17" ht="24.6">
      <c r="A194" s="390" t="s">
        <v>3908</v>
      </c>
      <c r="B194" s="395"/>
      <c r="C194" s="364"/>
      <c r="D194" s="388" t="s">
        <v>58</v>
      </c>
      <c r="E194" s="402" t="s">
        <v>3866</v>
      </c>
      <c r="F194" s="402"/>
      <c r="G194" s="731">
        <f t="shared" si="6"/>
        <v>100.85</v>
      </c>
      <c r="H194" s="732"/>
      <c r="I194" s="733"/>
      <c r="J194" s="733"/>
      <c r="N194" s="816">
        <f>Q194*M2</f>
        <v>100.87</v>
      </c>
      <c r="Q194" s="733">
        <v>91.7</v>
      </c>
    </row>
    <row r="195" spans="1:17" ht="24.6">
      <c r="A195" s="390" t="s">
        <v>3909</v>
      </c>
      <c r="B195" s="395"/>
      <c r="C195" s="364"/>
      <c r="D195" s="388" t="s">
        <v>58</v>
      </c>
      <c r="E195" s="402" t="s">
        <v>3865</v>
      </c>
      <c r="F195" s="402"/>
      <c r="G195" s="731">
        <f t="shared" si="6"/>
        <v>78.650000000000006</v>
      </c>
      <c r="H195" s="732"/>
      <c r="I195" s="733"/>
      <c r="J195" s="733"/>
      <c r="N195" s="816">
        <f>Q195*M2</f>
        <v>78.650000000000006</v>
      </c>
      <c r="Q195" s="733">
        <v>71.5</v>
      </c>
    </row>
    <row r="196" spans="1:17" ht="21">
      <c r="G196" s="731"/>
      <c r="H196" s="732"/>
      <c r="N196" s="816"/>
      <c r="Q196" s="733"/>
    </row>
    <row r="197" spans="1:17" ht="21">
      <c r="G197" s="731"/>
      <c r="H197" s="732"/>
      <c r="N197" s="816"/>
      <c r="Q197" s="733"/>
    </row>
    <row r="198" spans="1:17" ht="21">
      <c r="G198" s="731"/>
      <c r="H198" s="732"/>
      <c r="N198" s="816"/>
      <c r="Q198" s="733"/>
    </row>
    <row r="199" spans="1:17" ht="24.6">
      <c r="A199" s="403" t="s">
        <v>4132</v>
      </c>
      <c r="B199" s="403"/>
      <c r="C199" s="403"/>
      <c r="D199" s="403"/>
      <c r="E199" s="403"/>
      <c r="F199" s="373"/>
      <c r="G199" s="731"/>
      <c r="H199" s="732"/>
      <c r="I199" s="733"/>
      <c r="J199" s="733"/>
      <c r="N199" s="816"/>
      <c r="Q199" s="733"/>
    </row>
    <row r="200" spans="1:17" ht="21">
      <c r="A200" s="390" t="s">
        <v>3914</v>
      </c>
      <c r="E200" s="402" t="s">
        <v>2916</v>
      </c>
      <c r="F200" s="402" t="s">
        <v>2916</v>
      </c>
      <c r="G200" s="731">
        <f t="shared" ref="G200:G244" si="12">ROUND(N200*2,1)/2</f>
        <v>583.6</v>
      </c>
      <c r="H200" s="732">
        <f t="shared" si="7"/>
        <v>641.95000000000005</v>
      </c>
      <c r="J200" s="733">
        <f t="shared" ref="J200:J244" si="13">G200*1.1</f>
        <v>641.96</v>
      </c>
      <c r="N200" s="816">
        <f>Q200*M2</f>
        <v>583.60500000000002</v>
      </c>
      <c r="Q200" s="733">
        <v>530.54999999999995</v>
      </c>
    </row>
    <row r="201" spans="1:17" ht="21">
      <c r="A201" s="390" t="s">
        <v>3915</v>
      </c>
      <c r="E201" s="402" t="s">
        <v>2917</v>
      </c>
      <c r="F201" s="402" t="s">
        <v>2917</v>
      </c>
      <c r="G201" s="731">
        <f t="shared" si="12"/>
        <v>755.7</v>
      </c>
      <c r="H201" s="732">
        <f t="shared" si="7"/>
        <v>831.25</v>
      </c>
      <c r="J201" s="733">
        <f t="shared" si="13"/>
        <v>831.2700000000001</v>
      </c>
      <c r="N201" s="816">
        <f>Q201*M2</f>
        <v>755.7</v>
      </c>
      <c r="Q201" s="733">
        <v>687</v>
      </c>
    </row>
    <row r="202" spans="1:17" ht="21">
      <c r="A202" s="390" t="s">
        <v>3916</v>
      </c>
      <c r="E202" s="402" t="s">
        <v>2918</v>
      </c>
      <c r="F202" s="402" t="s">
        <v>2918</v>
      </c>
      <c r="G202" s="731">
        <f t="shared" si="12"/>
        <v>870.65</v>
      </c>
      <c r="H202" s="732">
        <f t="shared" si="7"/>
        <v>957.7</v>
      </c>
      <c r="J202" s="733">
        <f t="shared" si="13"/>
        <v>957.71500000000003</v>
      </c>
      <c r="N202" s="816">
        <f>Q202*M2</f>
        <v>870.65000000000009</v>
      </c>
      <c r="Q202" s="733">
        <v>791.5</v>
      </c>
    </row>
    <row r="203" spans="1:17" ht="21">
      <c r="A203" s="390" t="s">
        <v>3917</v>
      </c>
      <c r="E203" s="402" t="s">
        <v>2919</v>
      </c>
      <c r="F203" s="402" t="s">
        <v>2919</v>
      </c>
      <c r="G203" s="731">
        <f t="shared" si="12"/>
        <v>985.35</v>
      </c>
      <c r="H203" s="732">
        <f t="shared" si="7"/>
        <v>1083.9000000000001</v>
      </c>
      <c r="J203" s="733">
        <f t="shared" si="13"/>
        <v>1083.8850000000002</v>
      </c>
      <c r="N203" s="816">
        <f>Q203*M2</f>
        <v>985.32500000000005</v>
      </c>
      <c r="Q203" s="733">
        <v>895.75</v>
      </c>
    </row>
    <row r="204" spans="1:17" ht="21">
      <c r="A204" s="390" t="s">
        <v>3918</v>
      </c>
      <c r="E204" s="402" t="s">
        <v>3873</v>
      </c>
      <c r="F204" s="402" t="s">
        <v>3873</v>
      </c>
      <c r="G204" s="731">
        <f t="shared" si="12"/>
        <v>583.6</v>
      </c>
      <c r="H204" s="732">
        <f t="shared" si="7"/>
        <v>641.95000000000005</v>
      </c>
      <c r="J204" s="733">
        <f t="shared" si="13"/>
        <v>641.96</v>
      </c>
      <c r="N204" s="816">
        <f>Q204*M2</f>
        <v>583.60500000000002</v>
      </c>
      <c r="Q204" s="733">
        <v>530.54999999999995</v>
      </c>
    </row>
    <row r="205" spans="1:17" ht="21">
      <c r="A205" s="390" t="s">
        <v>3919</v>
      </c>
      <c r="E205" s="402" t="s">
        <v>3874</v>
      </c>
      <c r="F205" s="402" t="s">
        <v>3874</v>
      </c>
      <c r="G205" s="731">
        <f t="shared" si="12"/>
        <v>755.7</v>
      </c>
      <c r="H205" s="732">
        <f t="shared" si="7"/>
        <v>831.25</v>
      </c>
      <c r="J205" s="733">
        <f t="shared" si="13"/>
        <v>831.2700000000001</v>
      </c>
      <c r="N205" s="816">
        <f>Q205*M2</f>
        <v>755.7</v>
      </c>
      <c r="Q205" s="733">
        <v>687</v>
      </c>
    </row>
    <row r="206" spans="1:17" ht="21">
      <c r="A206" s="390" t="s">
        <v>3920</v>
      </c>
      <c r="E206" s="402" t="s">
        <v>3875</v>
      </c>
      <c r="F206" s="402" t="s">
        <v>3875</v>
      </c>
      <c r="G206" s="731">
        <f t="shared" si="12"/>
        <v>870.65</v>
      </c>
      <c r="H206" s="732">
        <f t="shared" si="7"/>
        <v>957.7</v>
      </c>
      <c r="J206" s="733">
        <f t="shared" si="13"/>
        <v>957.71500000000003</v>
      </c>
      <c r="N206" s="816">
        <f>Q206*M2</f>
        <v>870.65000000000009</v>
      </c>
      <c r="Q206" s="733">
        <v>791.5</v>
      </c>
    </row>
    <row r="207" spans="1:17" ht="21">
      <c r="A207" s="390" t="s">
        <v>3921</v>
      </c>
      <c r="E207" s="402" t="s">
        <v>3876</v>
      </c>
      <c r="F207" s="402" t="s">
        <v>3876</v>
      </c>
      <c r="G207" s="731">
        <f t="shared" si="12"/>
        <v>985.35</v>
      </c>
      <c r="H207" s="732">
        <f t="shared" si="7"/>
        <v>1083.9000000000001</v>
      </c>
      <c r="J207" s="733">
        <f t="shared" si="13"/>
        <v>1083.8850000000002</v>
      </c>
      <c r="N207" s="816">
        <f>Q207*M2</f>
        <v>985.32500000000005</v>
      </c>
      <c r="Q207" s="733">
        <v>895.75</v>
      </c>
    </row>
    <row r="208" spans="1:17" ht="21">
      <c r="A208" s="390" t="s">
        <v>3922</v>
      </c>
      <c r="E208" s="402" t="s">
        <v>3877</v>
      </c>
      <c r="F208" s="402" t="s">
        <v>3877</v>
      </c>
      <c r="G208" s="731">
        <f t="shared" si="12"/>
        <v>583.6</v>
      </c>
      <c r="H208" s="732">
        <f t="shared" si="7"/>
        <v>641.95000000000005</v>
      </c>
      <c r="J208" s="733">
        <f t="shared" si="13"/>
        <v>641.96</v>
      </c>
      <c r="N208" s="816">
        <f>Q208*M2</f>
        <v>583.60500000000002</v>
      </c>
      <c r="Q208" s="733">
        <v>530.54999999999995</v>
      </c>
    </row>
    <row r="209" spans="1:17" ht="21">
      <c r="A209" s="390" t="s">
        <v>3923</v>
      </c>
      <c r="E209" s="402" t="s">
        <v>3878</v>
      </c>
      <c r="F209" s="402" t="s">
        <v>3878</v>
      </c>
      <c r="G209" s="731">
        <f t="shared" si="12"/>
        <v>755.7</v>
      </c>
      <c r="H209" s="732">
        <f t="shared" si="7"/>
        <v>831.25</v>
      </c>
      <c r="J209" s="733">
        <f t="shared" si="13"/>
        <v>831.2700000000001</v>
      </c>
      <c r="N209" s="816">
        <f>Q209*M2</f>
        <v>755.7</v>
      </c>
      <c r="Q209" s="733">
        <v>687</v>
      </c>
    </row>
    <row r="210" spans="1:17" ht="21">
      <c r="A210" s="390" t="s">
        <v>3924</v>
      </c>
      <c r="E210" s="402" t="s">
        <v>3879</v>
      </c>
      <c r="F210" s="402" t="s">
        <v>3879</v>
      </c>
      <c r="G210" s="731">
        <f t="shared" si="12"/>
        <v>870.65</v>
      </c>
      <c r="H210" s="732">
        <f t="shared" si="7"/>
        <v>957.7</v>
      </c>
      <c r="J210" s="733">
        <f t="shared" si="13"/>
        <v>957.71500000000003</v>
      </c>
      <c r="N210" s="816">
        <f>Q210*M2</f>
        <v>870.65000000000009</v>
      </c>
      <c r="Q210" s="733">
        <v>791.5</v>
      </c>
    </row>
    <row r="211" spans="1:17" ht="21">
      <c r="A211" s="390" t="s">
        <v>3925</v>
      </c>
      <c r="E211" s="402" t="s">
        <v>3880</v>
      </c>
      <c r="F211" s="402" t="s">
        <v>3880</v>
      </c>
      <c r="G211" s="731">
        <f t="shared" si="12"/>
        <v>985.35</v>
      </c>
      <c r="H211" s="732">
        <f t="shared" si="7"/>
        <v>1083.9000000000001</v>
      </c>
      <c r="J211" s="733">
        <f t="shared" si="13"/>
        <v>1083.8850000000002</v>
      </c>
      <c r="N211" s="816">
        <f>Q211*M2</f>
        <v>985.32500000000005</v>
      </c>
      <c r="Q211" s="733">
        <v>895.75</v>
      </c>
    </row>
    <row r="212" spans="1:17" ht="21">
      <c r="A212" s="390" t="s">
        <v>3926</v>
      </c>
      <c r="E212" s="402" t="s">
        <v>3881</v>
      </c>
      <c r="F212" s="402" t="s">
        <v>3881</v>
      </c>
      <c r="G212" s="731">
        <f t="shared" si="12"/>
        <v>583.6</v>
      </c>
      <c r="H212" s="732">
        <f t="shared" si="7"/>
        <v>641.95000000000005</v>
      </c>
      <c r="J212" s="733">
        <f t="shared" si="13"/>
        <v>641.96</v>
      </c>
      <c r="N212" s="816">
        <f>Q212*M2</f>
        <v>583.60500000000002</v>
      </c>
      <c r="Q212" s="733">
        <v>530.54999999999995</v>
      </c>
    </row>
    <row r="213" spans="1:17" ht="21">
      <c r="A213" s="390" t="s">
        <v>3927</v>
      </c>
      <c r="E213" s="402" t="s">
        <v>3882</v>
      </c>
      <c r="F213" s="402" t="s">
        <v>3882</v>
      </c>
      <c r="G213" s="731">
        <f t="shared" si="12"/>
        <v>755.7</v>
      </c>
      <c r="H213" s="732">
        <f t="shared" si="7"/>
        <v>831.25</v>
      </c>
      <c r="J213" s="733">
        <f t="shared" si="13"/>
        <v>831.2700000000001</v>
      </c>
      <c r="N213" s="816">
        <f>Q213*M2</f>
        <v>755.7</v>
      </c>
      <c r="Q213" s="733">
        <v>687</v>
      </c>
    </row>
    <row r="214" spans="1:17" ht="21">
      <c r="A214" s="390" t="s">
        <v>3928</v>
      </c>
      <c r="E214" s="402" t="s">
        <v>3883</v>
      </c>
      <c r="F214" s="402" t="s">
        <v>3883</v>
      </c>
      <c r="G214" s="731">
        <f t="shared" si="12"/>
        <v>870.65</v>
      </c>
      <c r="H214" s="732">
        <f t="shared" si="7"/>
        <v>957.7</v>
      </c>
      <c r="J214" s="733">
        <f t="shared" si="13"/>
        <v>957.71500000000003</v>
      </c>
      <c r="N214" s="816">
        <f>Q214*M2</f>
        <v>870.65000000000009</v>
      </c>
      <c r="Q214" s="733">
        <v>791.5</v>
      </c>
    </row>
    <row r="215" spans="1:17" ht="21">
      <c r="A215" s="390" t="s">
        <v>3929</v>
      </c>
      <c r="E215" s="402" t="s">
        <v>3884</v>
      </c>
      <c r="F215" s="402" t="s">
        <v>3884</v>
      </c>
      <c r="G215" s="731">
        <f t="shared" si="12"/>
        <v>985.35</v>
      </c>
      <c r="H215" s="732">
        <f t="shared" si="7"/>
        <v>1083.9000000000001</v>
      </c>
      <c r="J215" s="733">
        <f t="shared" si="13"/>
        <v>1083.8850000000002</v>
      </c>
      <c r="N215" s="816">
        <f>Q215*M2</f>
        <v>985.32500000000005</v>
      </c>
      <c r="Q215" s="733">
        <v>895.75</v>
      </c>
    </row>
    <row r="216" spans="1:17" ht="21">
      <c r="A216" s="390" t="s">
        <v>3930</v>
      </c>
      <c r="E216" s="402" t="s">
        <v>2911</v>
      </c>
      <c r="F216" s="402" t="s">
        <v>2911</v>
      </c>
      <c r="G216" s="731">
        <f t="shared" si="12"/>
        <v>747.4</v>
      </c>
      <c r="H216" s="732">
        <f t="shared" si="7"/>
        <v>822.15</v>
      </c>
      <c r="J216" s="733">
        <f t="shared" si="13"/>
        <v>822.14</v>
      </c>
      <c r="N216" s="816">
        <f>Q216*M2</f>
        <v>747.3950000000001</v>
      </c>
      <c r="Q216" s="733">
        <v>679.45</v>
      </c>
    </row>
    <row r="217" spans="1:17" ht="21">
      <c r="A217" s="390" t="s">
        <v>3931</v>
      </c>
      <c r="E217" s="402" t="s">
        <v>2912</v>
      </c>
      <c r="F217" s="402" t="s">
        <v>2912</v>
      </c>
      <c r="G217" s="731">
        <f t="shared" si="12"/>
        <v>917.45</v>
      </c>
      <c r="H217" s="732">
        <f t="shared" si="7"/>
        <v>1009.2</v>
      </c>
      <c r="J217" s="733">
        <f t="shared" si="13"/>
        <v>1009.1950000000002</v>
      </c>
      <c r="N217" s="816">
        <f>Q217*M2</f>
        <v>917.45500000000004</v>
      </c>
      <c r="Q217" s="733">
        <v>834.05</v>
      </c>
    </row>
    <row r="218" spans="1:17" ht="21">
      <c r="A218" s="390" t="s">
        <v>3932</v>
      </c>
      <c r="E218" s="402" t="s">
        <v>2913</v>
      </c>
      <c r="F218" s="402" t="s">
        <v>2913</v>
      </c>
      <c r="G218" s="731">
        <f t="shared" si="12"/>
        <v>1030.5999999999999</v>
      </c>
      <c r="H218" s="732">
        <f t="shared" si="7"/>
        <v>1133.6500000000001</v>
      </c>
      <c r="J218" s="733">
        <f t="shared" si="13"/>
        <v>1133.6600000000001</v>
      </c>
      <c r="N218" s="816">
        <f>Q218*M2</f>
        <v>1030.5900000000001</v>
      </c>
      <c r="Q218" s="733">
        <v>936.9</v>
      </c>
    </row>
    <row r="219" spans="1:17" ht="21">
      <c r="A219" s="390" t="s">
        <v>3933</v>
      </c>
      <c r="E219" s="402" t="s">
        <v>2914</v>
      </c>
      <c r="F219" s="402" t="s">
        <v>2914</v>
      </c>
      <c r="G219" s="731">
        <f t="shared" si="12"/>
        <v>1143.9000000000001</v>
      </c>
      <c r="H219" s="732">
        <f t="shared" si="7"/>
        <v>1258.3</v>
      </c>
      <c r="J219" s="733">
        <f t="shared" si="13"/>
        <v>1258.2900000000002</v>
      </c>
      <c r="N219" s="816">
        <f>Q219*M2</f>
        <v>1143.8900000000001</v>
      </c>
      <c r="Q219" s="733">
        <v>1039.9000000000001</v>
      </c>
    </row>
    <row r="220" spans="1:17" ht="21">
      <c r="A220" s="390" t="s">
        <v>3934</v>
      </c>
      <c r="E220" s="402" t="s">
        <v>3885</v>
      </c>
      <c r="F220" s="402" t="s">
        <v>3885</v>
      </c>
      <c r="G220" s="731">
        <f t="shared" si="12"/>
        <v>747.4</v>
      </c>
      <c r="H220" s="732">
        <f t="shared" si="7"/>
        <v>822.15</v>
      </c>
      <c r="J220" s="733">
        <f t="shared" si="13"/>
        <v>822.14</v>
      </c>
      <c r="N220" s="816">
        <f>Q220*M2</f>
        <v>747.3950000000001</v>
      </c>
      <c r="Q220" s="733">
        <v>679.45</v>
      </c>
    </row>
    <row r="221" spans="1:17" ht="21">
      <c r="A221" s="390" t="s">
        <v>3935</v>
      </c>
      <c r="E221" s="402" t="s">
        <v>3886</v>
      </c>
      <c r="F221" s="402" t="s">
        <v>3886</v>
      </c>
      <c r="G221" s="731">
        <f t="shared" si="12"/>
        <v>917.45</v>
      </c>
      <c r="H221" s="732">
        <f t="shared" si="7"/>
        <v>1009.2</v>
      </c>
      <c r="J221" s="733">
        <f t="shared" si="13"/>
        <v>1009.1950000000002</v>
      </c>
      <c r="N221" s="816">
        <f>Q221*M2</f>
        <v>917.45500000000004</v>
      </c>
      <c r="Q221" s="733">
        <v>834.05</v>
      </c>
    </row>
    <row r="222" spans="1:17" ht="21">
      <c r="A222" s="390" t="s">
        <v>3936</v>
      </c>
      <c r="E222" s="402" t="s">
        <v>3887</v>
      </c>
      <c r="F222" s="402" t="s">
        <v>3887</v>
      </c>
      <c r="G222" s="731">
        <f t="shared" si="12"/>
        <v>1030.5999999999999</v>
      </c>
      <c r="H222" s="732">
        <f t="shared" si="7"/>
        <v>1133.6500000000001</v>
      </c>
      <c r="J222" s="733">
        <f t="shared" si="13"/>
        <v>1133.6600000000001</v>
      </c>
      <c r="N222" s="816">
        <f>Q222*M2</f>
        <v>1030.5900000000001</v>
      </c>
      <c r="Q222" s="733">
        <v>936.9</v>
      </c>
    </row>
    <row r="223" spans="1:17" ht="21">
      <c r="A223" s="390" t="s">
        <v>3937</v>
      </c>
      <c r="E223" s="402" t="s">
        <v>3888</v>
      </c>
      <c r="F223" s="402" t="s">
        <v>3888</v>
      </c>
      <c r="G223" s="731">
        <f t="shared" si="12"/>
        <v>1143.9000000000001</v>
      </c>
      <c r="H223" s="732">
        <f t="shared" si="7"/>
        <v>1258.3</v>
      </c>
      <c r="J223" s="733">
        <f t="shared" si="13"/>
        <v>1258.2900000000002</v>
      </c>
      <c r="N223" s="816">
        <f>Q223*M2</f>
        <v>1143.8900000000001</v>
      </c>
      <c r="Q223" s="733">
        <v>1039.9000000000001</v>
      </c>
    </row>
    <row r="224" spans="1:17" ht="21">
      <c r="A224" s="390" t="s">
        <v>3938</v>
      </c>
      <c r="E224" s="402" t="s">
        <v>3889</v>
      </c>
      <c r="F224" s="402" t="s">
        <v>3889</v>
      </c>
      <c r="G224" s="731">
        <f t="shared" si="12"/>
        <v>747.4</v>
      </c>
      <c r="H224" s="732">
        <f t="shared" si="7"/>
        <v>822.15</v>
      </c>
      <c r="J224" s="733">
        <f t="shared" si="13"/>
        <v>822.14</v>
      </c>
      <c r="N224" s="816">
        <f>Q224*M2</f>
        <v>747.3950000000001</v>
      </c>
      <c r="Q224" s="733">
        <v>679.45</v>
      </c>
    </row>
    <row r="225" spans="1:17" ht="21">
      <c r="A225" s="390" t="s">
        <v>3939</v>
      </c>
      <c r="E225" s="402" t="s">
        <v>3890</v>
      </c>
      <c r="F225" s="402" t="s">
        <v>3890</v>
      </c>
      <c r="G225" s="731">
        <f t="shared" si="12"/>
        <v>917.45</v>
      </c>
      <c r="H225" s="732">
        <f t="shared" si="7"/>
        <v>1009.2</v>
      </c>
      <c r="J225" s="733">
        <f t="shared" si="13"/>
        <v>1009.1950000000002</v>
      </c>
      <c r="N225" s="816">
        <f>Q225*M2</f>
        <v>917.45500000000004</v>
      </c>
      <c r="Q225" s="733">
        <v>834.05</v>
      </c>
    </row>
    <row r="226" spans="1:17" ht="21">
      <c r="A226" s="390" t="s">
        <v>3940</v>
      </c>
      <c r="E226" s="402" t="s">
        <v>3891</v>
      </c>
      <c r="F226" s="402" t="s">
        <v>3891</v>
      </c>
      <c r="G226" s="731">
        <f t="shared" si="12"/>
        <v>1030.5999999999999</v>
      </c>
      <c r="H226" s="732">
        <f t="shared" si="7"/>
        <v>1133.6500000000001</v>
      </c>
      <c r="J226" s="733">
        <f t="shared" si="13"/>
        <v>1133.6600000000001</v>
      </c>
      <c r="N226" s="816">
        <f>Q226*M2</f>
        <v>1030.5900000000001</v>
      </c>
      <c r="Q226" s="733">
        <v>936.9</v>
      </c>
    </row>
    <row r="227" spans="1:17" ht="21">
      <c r="A227" s="390" t="s">
        <v>3941</v>
      </c>
      <c r="E227" s="402" t="s">
        <v>3892</v>
      </c>
      <c r="F227" s="402" t="s">
        <v>3892</v>
      </c>
      <c r="G227" s="731">
        <f t="shared" si="12"/>
        <v>1143.9000000000001</v>
      </c>
      <c r="H227" s="732">
        <f t="shared" si="7"/>
        <v>1258.3</v>
      </c>
      <c r="J227" s="733">
        <f t="shared" si="13"/>
        <v>1258.2900000000002</v>
      </c>
      <c r="N227" s="816">
        <f>Q227*M2</f>
        <v>1143.8900000000001</v>
      </c>
      <c r="Q227" s="733">
        <v>1039.9000000000001</v>
      </c>
    </row>
    <row r="228" spans="1:17" ht="21">
      <c r="A228" s="390" t="s">
        <v>3942</v>
      </c>
      <c r="E228" s="402" t="s">
        <v>3893</v>
      </c>
      <c r="F228" s="402" t="s">
        <v>3893</v>
      </c>
      <c r="G228" s="731">
        <f t="shared" si="12"/>
        <v>747.4</v>
      </c>
      <c r="H228" s="732">
        <f t="shared" si="7"/>
        <v>822.15</v>
      </c>
      <c r="J228" s="733">
        <f t="shared" si="13"/>
        <v>822.14</v>
      </c>
      <c r="N228" s="816">
        <f>Q228*M2</f>
        <v>747.3950000000001</v>
      </c>
      <c r="Q228" s="733">
        <v>679.45</v>
      </c>
    </row>
    <row r="229" spans="1:17" ht="21">
      <c r="A229" s="390" t="s">
        <v>3943</v>
      </c>
      <c r="E229" s="402" t="s">
        <v>3894</v>
      </c>
      <c r="F229" s="402" t="s">
        <v>3894</v>
      </c>
      <c r="G229" s="731">
        <f t="shared" si="12"/>
        <v>917.45</v>
      </c>
      <c r="H229" s="732">
        <f t="shared" si="7"/>
        <v>1009.2</v>
      </c>
      <c r="J229" s="733">
        <f t="shared" si="13"/>
        <v>1009.1950000000002</v>
      </c>
      <c r="N229" s="816">
        <f>Q229*M2</f>
        <v>917.45500000000004</v>
      </c>
      <c r="Q229" s="733">
        <v>834.05</v>
      </c>
    </row>
    <row r="230" spans="1:17" ht="21">
      <c r="A230" s="390" t="s">
        <v>3944</v>
      </c>
      <c r="E230" s="402" t="s">
        <v>3895</v>
      </c>
      <c r="F230" s="402" t="s">
        <v>3895</v>
      </c>
      <c r="G230" s="731">
        <f t="shared" si="12"/>
        <v>1030.5999999999999</v>
      </c>
      <c r="H230" s="732">
        <f t="shared" si="7"/>
        <v>1133.6500000000001</v>
      </c>
      <c r="J230" s="733">
        <f t="shared" si="13"/>
        <v>1133.6600000000001</v>
      </c>
      <c r="N230" s="816">
        <f>Q230*M2</f>
        <v>1030.5900000000001</v>
      </c>
      <c r="Q230" s="733">
        <v>936.9</v>
      </c>
    </row>
    <row r="231" spans="1:17" ht="21">
      <c r="A231" s="390" t="s">
        <v>3945</v>
      </c>
      <c r="E231" s="402" t="s">
        <v>3896</v>
      </c>
      <c r="F231" s="402" t="s">
        <v>3896</v>
      </c>
      <c r="G231" s="731">
        <f t="shared" si="12"/>
        <v>1143.9000000000001</v>
      </c>
      <c r="H231" s="732">
        <f t="shared" si="7"/>
        <v>1258.3</v>
      </c>
      <c r="J231" s="733">
        <f t="shared" si="13"/>
        <v>1258.2900000000002</v>
      </c>
      <c r="N231" s="816">
        <f>Q231*M2</f>
        <v>1143.8900000000001</v>
      </c>
      <c r="Q231" s="733">
        <v>1039.9000000000001</v>
      </c>
    </row>
    <row r="232" spans="1:17" ht="21">
      <c r="A232" s="390" t="s">
        <v>3946</v>
      </c>
      <c r="E232" s="402" t="s">
        <v>3897</v>
      </c>
      <c r="F232" s="402" t="s">
        <v>3897</v>
      </c>
      <c r="G232" s="731">
        <f t="shared" si="12"/>
        <v>747.4</v>
      </c>
      <c r="H232" s="732">
        <f t="shared" si="7"/>
        <v>822.15</v>
      </c>
      <c r="J232" s="733">
        <f t="shared" si="13"/>
        <v>822.14</v>
      </c>
      <c r="N232" s="816">
        <f>Q232*M2</f>
        <v>747.3950000000001</v>
      </c>
      <c r="Q232" s="733">
        <v>679.45</v>
      </c>
    </row>
    <row r="233" spans="1:17" ht="21">
      <c r="A233" s="390" t="s">
        <v>3947</v>
      </c>
      <c r="E233" s="402" t="s">
        <v>3898</v>
      </c>
      <c r="F233" s="402" t="s">
        <v>3898</v>
      </c>
      <c r="G233" s="731">
        <f t="shared" si="12"/>
        <v>917.45</v>
      </c>
      <c r="H233" s="732">
        <f t="shared" si="7"/>
        <v>1009.2</v>
      </c>
      <c r="J233" s="733">
        <f t="shared" si="13"/>
        <v>1009.1950000000002</v>
      </c>
      <c r="N233" s="816">
        <f>Q233*M2</f>
        <v>917.45500000000004</v>
      </c>
      <c r="Q233" s="733">
        <v>834.05</v>
      </c>
    </row>
    <row r="234" spans="1:17" ht="21">
      <c r="A234" s="390" t="s">
        <v>3948</v>
      </c>
      <c r="E234" s="402" t="s">
        <v>3899</v>
      </c>
      <c r="F234" s="402" t="s">
        <v>3899</v>
      </c>
      <c r="G234" s="731">
        <f t="shared" si="12"/>
        <v>1030.5999999999999</v>
      </c>
      <c r="H234" s="732">
        <f t="shared" si="7"/>
        <v>1133.6500000000001</v>
      </c>
      <c r="J234" s="733">
        <f t="shared" si="13"/>
        <v>1133.6600000000001</v>
      </c>
      <c r="N234" s="816">
        <f>Q234*M2</f>
        <v>1030.5900000000001</v>
      </c>
      <c r="Q234" s="733">
        <v>936.9</v>
      </c>
    </row>
    <row r="235" spans="1:17" ht="21">
      <c r="A235" s="390" t="s">
        <v>3949</v>
      </c>
      <c r="E235" s="402" t="s">
        <v>3900</v>
      </c>
      <c r="F235" s="402" t="s">
        <v>3900</v>
      </c>
      <c r="G235" s="731">
        <f t="shared" si="12"/>
        <v>1143.9000000000001</v>
      </c>
      <c r="H235" s="732">
        <f t="shared" si="7"/>
        <v>1258.3</v>
      </c>
      <c r="J235" s="733">
        <f t="shared" si="13"/>
        <v>1258.2900000000002</v>
      </c>
      <c r="N235" s="816">
        <f>Q235*M2</f>
        <v>1143.8900000000001</v>
      </c>
      <c r="Q235" s="733">
        <v>1039.9000000000001</v>
      </c>
    </row>
    <row r="236" spans="1:17" ht="21">
      <c r="A236" s="390" t="s">
        <v>4122</v>
      </c>
      <c r="E236" s="402" t="s">
        <v>2742</v>
      </c>
      <c r="F236" s="402" t="s">
        <v>2742</v>
      </c>
      <c r="G236" s="731">
        <f t="shared" si="12"/>
        <v>1</v>
      </c>
      <c r="H236" s="732">
        <f t="shared" si="7"/>
        <v>1.1000000000000001</v>
      </c>
      <c r="J236" s="733">
        <f t="shared" si="13"/>
        <v>1.1000000000000001</v>
      </c>
      <c r="N236" s="817">
        <f>Q236</f>
        <v>1</v>
      </c>
      <c r="Q236" s="733">
        <v>1</v>
      </c>
    </row>
    <row r="237" spans="1:17" ht="21">
      <c r="A237" s="390" t="s">
        <v>4123</v>
      </c>
      <c r="E237" s="402" t="s">
        <v>2742</v>
      </c>
      <c r="F237" s="402" t="s">
        <v>2742</v>
      </c>
      <c r="G237" s="731">
        <f t="shared" si="12"/>
        <v>1</v>
      </c>
      <c r="H237" s="732">
        <f t="shared" si="7"/>
        <v>1.1000000000000001</v>
      </c>
      <c r="J237" s="733">
        <f t="shared" si="13"/>
        <v>1.1000000000000001</v>
      </c>
      <c r="N237" s="817">
        <f t="shared" ref="N237:N244" si="14">Q237</f>
        <v>1</v>
      </c>
      <c r="Q237" s="733">
        <v>1</v>
      </c>
    </row>
    <row r="238" spans="1:17" ht="21">
      <c r="A238" s="390" t="s">
        <v>4124</v>
      </c>
      <c r="E238" s="402" t="s">
        <v>2742</v>
      </c>
      <c r="F238" s="402" t="s">
        <v>2742</v>
      </c>
      <c r="G238" s="731">
        <f t="shared" si="12"/>
        <v>1</v>
      </c>
      <c r="H238" s="732">
        <f t="shared" si="7"/>
        <v>1.1000000000000001</v>
      </c>
      <c r="J238" s="733">
        <f t="shared" si="13"/>
        <v>1.1000000000000001</v>
      </c>
      <c r="N238" s="817">
        <f t="shared" si="14"/>
        <v>1</v>
      </c>
      <c r="Q238" s="733">
        <v>1</v>
      </c>
    </row>
    <row r="239" spans="1:17" ht="21">
      <c r="A239" s="390" t="s">
        <v>4125</v>
      </c>
      <c r="E239" s="402" t="s">
        <v>2742</v>
      </c>
      <c r="F239" s="402" t="s">
        <v>2742</v>
      </c>
      <c r="G239" s="731">
        <f t="shared" si="12"/>
        <v>1</v>
      </c>
      <c r="H239" s="732">
        <f t="shared" si="7"/>
        <v>1.1000000000000001</v>
      </c>
      <c r="J239" s="733">
        <f t="shared" si="13"/>
        <v>1.1000000000000001</v>
      </c>
      <c r="N239" s="817">
        <f t="shared" si="14"/>
        <v>1</v>
      </c>
      <c r="Q239" s="733">
        <v>1</v>
      </c>
    </row>
    <row r="240" spans="1:17" ht="21">
      <c r="A240" s="390" t="s">
        <v>4117</v>
      </c>
      <c r="E240" s="402" t="s">
        <v>2742</v>
      </c>
      <c r="F240" s="402" t="s">
        <v>2742</v>
      </c>
      <c r="G240" s="731">
        <f t="shared" si="12"/>
        <v>1</v>
      </c>
      <c r="H240" s="732">
        <f t="shared" si="7"/>
        <v>1.1000000000000001</v>
      </c>
      <c r="J240" s="733">
        <f t="shared" si="13"/>
        <v>1.1000000000000001</v>
      </c>
      <c r="N240" s="817">
        <f t="shared" si="14"/>
        <v>1</v>
      </c>
      <c r="Q240" s="733">
        <v>1</v>
      </c>
    </row>
    <row r="241" spans="1:17" ht="21">
      <c r="A241" s="390" t="s">
        <v>4118</v>
      </c>
      <c r="E241" s="402" t="s">
        <v>2742</v>
      </c>
      <c r="F241" s="402" t="s">
        <v>2742</v>
      </c>
      <c r="G241" s="731">
        <f t="shared" si="12"/>
        <v>1</v>
      </c>
      <c r="H241" s="732">
        <f t="shared" si="7"/>
        <v>1.1000000000000001</v>
      </c>
      <c r="J241" s="733">
        <f t="shared" si="13"/>
        <v>1.1000000000000001</v>
      </c>
      <c r="N241" s="817">
        <f t="shared" si="14"/>
        <v>1</v>
      </c>
      <c r="Q241" s="733">
        <v>1</v>
      </c>
    </row>
    <row r="242" spans="1:17" ht="21">
      <c r="A242" s="390" t="s">
        <v>4119</v>
      </c>
      <c r="E242" s="402" t="s">
        <v>2742</v>
      </c>
      <c r="F242" s="402" t="s">
        <v>2742</v>
      </c>
      <c r="G242" s="731">
        <f t="shared" si="12"/>
        <v>1</v>
      </c>
      <c r="H242" s="732">
        <f t="shared" ref="H242:H244" si="15">ROUND(J242*2,1)/2</f>
        <v>1.1000000000000001</v>
      </c>
      <c r="J242" s="733">
        <f t="shared" si="13"/>
        <v>1.1000000000000001</v>
      </c>
      <c r="N242" s="817">
        <f t="shared" si="14"/>
        <v>1</v>
      </c>
      <c r="Q242" s="733">
        <v>1</v>
      </c>
    </row>
    <row r="243" spans="1:17" ht="21">
      <c r="A243" s="390" t="s">
        <v>4120</v>
      </c>
      <c r="E243" s="402" t="s">
        <v>2742</v>
      </c>
      <c r="F243" s="402" t="s">
        <v>2742</v>
      </c>
      <c r="G243" s="731">
        <f t="shared" si="12"/>
        <v>1</v>
      </c>
      <c r="H243" s="732">
        <f t="shared" si="15"/>
        <v>1.1000000000000001</v>
      </c>
      <c r="J243" s="733">
        <f t="shared" si="13"/>
        <v>1.1000000000000001</v>
      </c>
      <c r="N243" s="817">
        <f t="shared" si="14"/>
        <v>1</v>
      </c>
      <c r="Q243" s="733">
        <v>1</v>
      </c>
    </row>
    <row r="244" spans="1:17" ht="21">
      <c r="A244" s="390" t="s">
        <v>4121</v>
      </c>
      <c r="E244" s="402" t="s">
        <v>2742</v>
      </c>
      <c r="F244" s="402" t="s">
        <v>2742</v>
      </c>
      <c r="G244" s="731">
        <f t="shared" si="12"/>
        <v>1</v>
      </c>
      <c r="H244" s="732">
        <f t="shared" si="15"/>
        <v>1.1000000000000001</v>
      </c>
      <c r="J244" s="733">
        <f t="shared" si="13"/>
        <v>1.1000000000000001</v>
      </c>
      <c r="N244" s="817">
        <f t="shared" si="14"/>
        <v>1</v>
      </c>
      <c r="Q244" s="733">
        <v>1</v>
      </c>
    </row>
    <row r="246" spans="1:17" ht="24.6">
      <c r="A246" s="403" t="s">
        <v>4364</v>
      </c>
      <c r="B246" s="403"/>
      <c r="C246" s="403"/>
      <c r="D246" s="403"/>
      <c r="E246" s="384"/>
      <c r="F246" s="373"/>
      <c r="G246" s="735"/>
      <c r="H246" s="734"/>
      <c r="I246" s="733"/>
      <c r="J246" s="733"/>
    </row>
    <row r="247" spans="1:17" ht="21">
      <c r="A247" s="385"/>
      <c r="B247" s="386"/>
      <c r="C247" s="387"/>
      <c r="D247" s="388" t="s">
        <v>58</v>
      </c>
      <c r="E247" s="389" t="s">
        <v>3362</v>
      </c>
      <c r="F247" s="373" t="s">
        <v>3362</v>
      </c>
      <c r="G247" s="731">
        <v>0</v>
      </c>
      <c r="H247" s="734"/>
      <c r="I247" s="733"/>
      <c r="J247" s="733"/>
      <c r="N247">
        <v>278</v>
      </c>
    </row>
  </sheetData>
  <mergeCells count="1">
    <mergeCell ref="H2:I2"/>
  </mergeCells>
  <pageMargins left="0.7" right="0.7" top="0.78740157499999996" bottom="0.78740157499999996"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EC1B21C32056F44AA7DA1E9C2296358" ma:contentTypeVersion="13" ma:contentTypeDescription="Ein neues Dokument erstellen." ma:contentTypeScope="" ma:versionID="54ce7db451c838ce45d80ae7bb5b90df">
  <xsd:schema xmlns:xsd="http://www.w3.org/2001/XMLSchema" xmlns:xs="http://www.w3.org/2001/XMLSchema" xmlns:p="http://schemas.microsoft.com/office/2006/metadata/properties" xmlns:ns2="665609e8-82a7-42bb-a241-1352fea502ca" xmlns:ns3="43e6e013-0698-44a1-9d48-8ff31a1df0c3" xmlns:ns4="bf01325f-6d04-4905-92c1-287a220edac3" targetNamespace="http://schemas.microsoft.com/office/2006/metadata/properties" ma:root="true" ma:fieldsID="0b15a4ebd1e9c90ce61f10615e918e79" ns2:_="" ns3:_="" ns4:_="">
    <xsd:import namespace="665609e8-82a7-42bb-a241-1352fea502ca"/>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5609e8-82a7-42bb-a241-1352fea50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3e6e013-0698-44a1-9d48-8ff31a1df0c3">
      <UserInfo>
        <DisplayName/>
        <AccountId xsi:nil="true"/>
        <AccountType/>
      </UserInfo>
    </SharedWithUsers>
    <TaxCatchAll xmlns="bf01325f-6d04-4905-92c1-287a220edac3" xsi:nil="true"/>
    <MediaLengthInSeconds xmlns="665609e8-82a7-42bb-a241-1352fea502ca" xsi:nil="true"/>
    <lcf76f155ced4ddcb4097134ff3c332f xmlns="665609e8-82a7-42bb-a241-1352fea502c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47DBB99-D024-4138-BE02-A957C047EB85}">
  <ds:schemaRefs>
    <ds:schemaRef ds:uri="http://schemas.microsoft.com/sharepoint/v3/contenttype/forms"/>
  </ds:schemaRefs>
</ds:datastoreItem>
</file>

<file path=customXml/itemProps2.xml><?xml version="1.0" encoding="utf-8"?>
<ds:datastoreItem xmlns:ds="http://schemas.openxmlformats.org/officeDocument/2006/customXml" ds:itemID="{97440680-EA9E-4992-A523-1CA27611CA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5609e8-82a7-42bb-a241-1352fea502ca"/>
    <ds:schemaRef ds:uri="43e6e013-0698-44a1-9d48-8ff31a1df0c3"/>
    <ds:schemaRef ds:uri="bf01325f-6d04-4905-92c1-287a220ed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E38C85-4247-4E00-80B9-093BAD0ED778}">
  <ds:schemaRefs>
    <ds:schemaRef ds:uri="http://schemas.microsoft.com/office/2006/documentManagement/types"/>
    <ds:schemaRef ds:uri="665609e8-82a7-42bb-a241-1352fea502ca"/>
    <ds:schemaRef ds:uri="43e6e013-0698-44a1-9d48-8ff31a1df0c3"/>
    <ds:schemaRef ds:uri="http://purl.org/dc/elements/1.1/"/>
    <ds:schemaRef ds:uri="http://schemas.microsoft.com/office/2006/metadata/properties"/>
    <ds:schemaRef ds:uri="http://purl.org/dc/terms/"/>
    <ds:schemaRef ds:uri="http://schemas.openxmlformats.org/package/2006/metadata/core-properties"/>
    <ds:schemaRef ds:uri="bf01325f-6d04-4905-92c1-287a220edac3"/>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6</vt:i4>
      </vt:variant>
    </vt:vector>
  </HeadingPairs>
  <TitlesOfParts>
    <vt:vector size="16" baseType="lpstr">
      <vt:lpstr>Erhebungsbogen</vt:lpstr>
      <vt:lpstr>Haftungsausschluß</vt:lpstr>
      <vt:lpstr>Leibungshöhe</vt:lpstr>
      <vt:lpstr>Kalkulation 1</vt:lpstr>
      <vt:lpstr>HWS-Stückliste-Kalk-1</vt:lpstr>
      <vt:lpstr>HWS-Stückliste-Kalk-Komplett</vt:lpstr>
      <vt:lpstr>Statik 1-Zusatzberechnungen-1</vt:lpstr>
      <vt:lpstr>HWS-Stückliste-Statik-1</vt:lpstr>
      <vt:lpstr>Preisliste</vt:lpstr>
      <vt:lpstr>Sprachindex</vt:lpstr>
      <vt:lpstr>'Kalkulation 1'!Impression_des_titres</vt:lpstr>
      <vt:lpstr>Erhebungsbogen!Zone_d_impression</vt:lpstr>
      <vt:lpstr>'HWS-Stückliste-Kalk-1'!Zone_d_impression</vt:lpstr>
      <vt:lpstr>'HWS-Stückliste-Kalk-Komplett'!Zone_d_impression</vt:lpstr>
      <vt:lpstr>'HWS-Stückliste-Statik-1'!Zone_d_impression</vt:lpstr>
      <vt:lpstr>'Kalkulation 1'!Zone_d_impression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Muellner Andreas</dc:creator>
  <cp:lastModifiedBy>Zita Germanier</cp:lastModifiedBy>
  <cp:lastPrinted>2022-08-02T12:48:33Z</cp:lastPrinted>
  <dcterms:created xsi:type="dcterms:W3CDTF">2019-10-08T09:17:59Z</dcterms:created>
  <dcterms:modified xsi:type="dcterms:W3CDTF">2022-08-02T13:22:57Z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1272100</vt:r8>
  </property>
  <property fmtid="{D5CDD505-2E9C-101B-9397-08002B2CF9AE}" pid="3" name="MediaServiceImageTags">
    <vt:lpwstr/>
  </property>
  <property fmtid="{D5CDD505-2E9C-101B-9397-08002B2CF9AE}" pid="4" name="ContentTypeId">
    <vt:lpwstr>0x0101003EC1B21C32056F44AA7DA1E9C2296358</vt:lpwstr>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